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Guille Vallejo\Desktop\"/>
    </mc:Choice>
  </mc:AlternateContent>
  <xr:revisionPtr revIDLastSave="0" documentId="8_{70776D11-C77D-409D-A53B-0C82D6E221B0}" xr6:coauthVersionLast="47" xr6:coauthVersionMax="47" xr10:uidLastSave="{00000000-0000-0000-0000-000000000000}"/>
  <bookViews>
    <workbookView xWindow="-120" yWindow="-120" windowWidth="29040" windowHeight="15720" tabRatio="811" xr2:uid="{00000000-000D-0000-FFFF-FFFF00000000}"/>
  </bookViews>
  <sheets>
    <sheet name="Directions" sheetId="7" r:id="rId1"/>
    <sheet name="Summer Salary CNAS" sheetId="1" r:id="rId2"/>
    <sheet name="Summer Salary CHASS" sheetId="8" r:id="rId3"/>
    <sheet name="NSTP Summer Salary" sheetId="3" r:id="rId4"/>
    <sheet name="Additional Comp" sheetId="4" r:id="rId5"/>
    <sheet name="Approval email" sheetId="6" r:id="rId6"/>
    <sheet name="FAQ's" sheetId="5" r:id="rId7"/>
    <sheet name="Lookup" sheetId="2" state="hidden"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0" i="4" l="1"/>
  <c r="L31" i="4"/>
  <c r="L32" i="4"/>
  <c r="L29" i="4"/>
  <c r="G40" i="3"/>
  <c r="G41" i="3"/>
  <c r="G42" i="3"/>
  <c r="G43" i="3"/>
  <c r="G44" i="3"/>
  <c r="G45" i="3"/>
  <c r="G46" i="3"/>
  <c r="G47" i="3"/>
  <c r="G39" i="3"/>
  <c r="G38" i="3"/>
  <c r="G29" i="8"/>
  <c r="G30" i="8"/>
  <c r="G31" i="8"/>
  <c r="G32" i="8"/>
  <c r="G33" i="8"/>
  <c r="G34" i="8"/>
  <c r="G35" i="8"/>
  <c r="G36" i="8"/>
  <c r="G28" i="8"/>
  <c r="G27" i="8"/>
  <c r="G29" i="1"/>
  <c r="G30" i="1"/>
  <c r="G31" i="1"/>
  <c r="G32" i="1"/>
  <c r="G33" i="1"/>
  <c r="G34" i="1"/>
  <c r="G35" i="1"/>
  <c r="G36" i="1"/>
  <c r="G28" i="1"/>
  <c r="G27" i="1"/>
  <c r="L33" i="4" l="1"/>
  <c r="C48" i="3"/>
  <c r="C37" i="8"/>
  <c r="C37" i="1"/>
  <c r="C88" i="1" l="1"/>
  <c r="E88" i="1" s="1"/>
  <c r="D88" i="1" l="1"/>
  <c r="B97" i="4"/>
  <c r="B114" i="3" l="1"/>
  <c r="B103" i="1"/>
  <c r="D109" i="8"/>
  <c r="B109" i="8" l="1"/>
  <c r="L109" i="8"/>
  <c r="C89" i="8"/>
  <c r="D89" i="8" s="1"/>
  <c r="C88" i="8"/>
  <c r="E88" i="8" s="1"/>
  <c r="C87" i="8"/>
  <c r="D87" i="8" s="1"/>
  <c r="C86" i="8"/>
  <c r="D86" i="8" s="1"/>
  <c r="C85" i="8"/>
  <c r="D85" i="8" s="1"/>
  <c r="E81" i="8"/>
  <c r="D81" i="8"/>
  <c r="E80" i="8"/>
  <c r="D80" i="8"/>
  <c r="E79" i="8"/>
  <c r="D79" i="8"/>
  <c r="E78" i="8"/>
  <c r="D78" i="8"/>
  <c r="E74" i="8"/>
  <c r="D74" i="8"/>
  <c r="E73" i="8"/>
  <c r="D73" i="8"/>
  <c r="E72" i="8"/>
  <c r="D72" i="8"/>
  <c r="E71" i="8"/>
  <c r="D71" i="8"/>
  <c r="G58" i="8"/>
  <c r="G64" i="8" s="1"/>
  <c r="D58" i="8"/>
  <c r="K64" i="8" s="1"/>
  <c r="F24" i="8"/>
  <c r="G22" i="8"/>
  <c r="K41" i="8" s="1"/>
  <c r="F18" i="8"/>
  <c r="F7" i="8"/>
  <c r="J30" i="8" l="1"/>
  <c r="C90" i="8"/>
  <c r="D90" i="8" s="1"/>
  <c r="E87" i="8"/>
  <c r="J35" i="8"/>
  <c r="J31" i="8"/>
  <c r="J27" i="8"/>
  <c r="J32" i="8"/>
  <c r="J29" i="8"/>
  <c r="J34" i="8"/>
  <c r="E85" i="8"/>
  <c r="D88" i="8"/>
  <c r="J28" i="8"/>
  <c r="J36" i="8"/>
  <c r="E86" i="8"/>
  <c r="J33" i="8"/>
  <c r="M22" i="2"/>
  <c r="B101" i="3" s="1"/>
  <c r="M2" i="2"/>
  <c r="A82" i="3" l="1"/>
  <c r="L33" i="8"/>
  <c r="K33" i="8"/>
  <c r="L36" i="8"/>
  <c r="K36" i="8"/>
  <c r="L28" i="8"/>
  <c r="M28" i="8" s="1"/>
  <c r="K28" i="8"/>
  <c r="L34" i="8"/>
  <c r="K34" i="8"/>
  <c r="L29" i="8"/>
  <c r="N29" i="8" s="1"/>
  <c r="K29" i="8"/>
  <c r="L32" i="8"/>
  <c r="M32" i="8" s="1"/>
  <c r="K32" i="8"/>
  <c r="L27" i="8"/>
  <c r="N27" i="8" s="1"/>
  <c r="J37" i="8"/>
  <c r="K27" i="8"/>
  <c r="K37" i="8" s="1"/>
  <c r="L31" i="8"/>
  <c r="N31" i="8" s="1"/>
  <c r="K31" i="8"/>
  <c r="L35" i="8"/>
  <c r="N35" i="8" s="1"/>
  <c r="K35" i="8"/>
  <c r="L30" i="8"/>
  <c r="N30" i="8" s="1"/>
  <c r="K30" i="8"/>
  <c r="D81" i="4"/>
  <c r="D65" i="4"/>
  <c r="B72" i="1"/>
  <c r="B79" i="1"/>
  <c r="N2" i="2"/>
  <c r="B72" i="8"/>
  <c r="N22" i="2"/>
  <c r="B79" i="8"/>
  <c r="M35" i="8"/>
  <c r="M29" i="8"/>
  <c r="N34" i="8"/>
  <c r="M34" i="8"/>
  <c r="N32" i="8"/>
  <c r="M31" i="8"/>
  <c r="N33" i="8"/>
  <c r="M33" i="8"/>
  <c r="M36" i="8"/>
  <c r="N36" i="8"/>
  <c r="J29" i="4"/>
  <c r="H62" i="2"/>
  <c r="H63" i="2"/>
  <c r="H64" i="2"/>
  <c r="H65" i="2"/>
  <c r="H66" i="2"/>
  <c r="H61" i="2"/>
  <c r="M27" i="8" l="1"/>
  <c r="N28" i="8"/>
  <c r="N37" i="8" s="1"/>
  <c r="M30" i="8"/>
  <c r="M37" i="8"/>
  <c r="F81" i="8"/>
  <c r="G81" i="8" s="1"/>
  <c r="F78" i="8"/>
  <c r="G78" i="8" s="1"/>
  <c r="F80" i="8"/>
  <c r="G80" i="8" s="1"/>
  <c r="F79" i="8"/>
  <c r="G79" i="8" s="1"/>
  <c r="F74" i="8"/>
  <c r="G74" i="8" s="1"/>
  <c r="F71" i="8"/>
  <c r="G71" i="8" s="1"/>
  <c r="F73" i="8"/>
  <c r="G73" i="8" s="1"/>
  <c r="F72" i="8"/>
  <c r="G72" i="8" s="1"/>
  <c r="J30" i="4"/>
  <c r="J33" i="4" s="1"/>
  <c r="J31" i="4"/>
  <c r="J32" i="4"/>
  <c r="L114" i="3" l="1"/>
  <c r="L103" i="1"/>
  <c r="L97" i="4" l="1"/>
  <c r="C90" i="3" l="1"/>
  <c r="C93" i="3"/>
  <c r="C92" i="3"/>
  <c r="C91" i="3"/>
  <c r="C89" i="1"/>
  <c r="C85" i="1"/>
  <c r="C87" i="1"/>
  <c r="D87" i="1" s="1"/>
  <c r="C86" i="1"/>
  <c r="H43" i="2" l="1"/>
  <c r="H44" i="2"/>
  <c r="H45" i="2"/>
  <c r="H46" i="2"/>
  <c r="H47" i="2"/>
  <c r="H48" i="2"/>
  <c r="H49" i="2"/>
  <c r="H50" i="2"/>
  <c r="H51" i="2"/>
  <c r="H52" i="2"/>
  <c r="H53" i="2"/>
  <c r="H54" i="2"/>
  <c r="H55" i="2"/>
  <c r="H56" i="2"/>
  <c r="H57" i="2"/>
  <c r="H58" i="2"/>
  <c r="H59" i="2"/>
  <c r="H60" i="2"/>
  <c r="D8" i="4" l="1"/>
  <c r="D56" i="4" l="1"/>
  <c r="D69" i="4"/>
  <c r="C9" i="3" l="1"/>
  <c r="F7" i="1"/>
  <c r="E101" i="3" l="1"/>
  <c r="E102" i="3"/>
  <c r="E103" i="3"/>
  <c r="E100" i="3"/>
  <c r="D101" i="3"/>
  <c r="D102" i="3"/>
  <c r="D103" i="3"/>
  <c r="D100" i="3"/>
  <c r="E81" i="1"/>
  <c r="E80" i="1"/>
  <c r="E79" i="1"/>
  <c r="E78" i="1"/>
  <c r="D78" i="1"/>
  <c r="M23" i="2"/>
  <c r="F100" i="3" l="1"/>
  <c r="G100" i="3" s="1"/>
  <c r="N23" i="2"/>
  <c r="F78" i="1"/>
  <c r="G78" i="1" s="1"/>
  <c r="F79" i="1"/>
  <c r="F80" i="1"/>
  <c r="F81" i="1"/>
  <c r="C82" i="3"/>
  <c r="G82" i="3" s="1"/>
  <c r="F102" i="3" l="1"/>
  <c r="G102" i="3" s="1"/>
  <c r="F103" i="3"/>
  <c r="G103" i="3" s="1"/>
  <c r="F101" i="3"/>
  <c r="G101" i="3" s="1"/>
  <c r="J75" i="4"/>
  <c r="E54" i="4"/>
  <c r="E55" i="4"/>
  <c r="E53" i="4"/>
  <c r="G33" i="4"/>
  <c r="F33" i="4" s="1"/>
  <c r="D97" i="4"/>
  <c r="B60" i="4"/>
  <c r="F53" i="4" s="1"/>
  <c r="F54" i="4" l="1"/>
  <c r="G54" i="4" s="1"/>
  <c r="F55" i="4"/>
  <c r="G55" i="4" s="1"/>
  <c r="G53" i="4"/>
  <c r="H26" i="4"/>
  <c r="G103" i="4" s="1"/>
  <c r="D93" i="3" l="1"/>
  <c r="M88" i="3"/>
  <c r="M90" i="3"/>
  <c r="M28" i="3"/>
  <c r="D24" i="3"/>
  <c r="F24" i="3" s="1"/>
  <c r="M22" i="3"/>
  <c r="D34" i="3"/>
  <c r="F34" i="3" s="1"/>
  <c r="D33" i="3"/>
  <c r="F33" i="3" s="1"/>
  <c r="D32" i="3"/>
  <c r="F32" i="3" s="1"/>
  <c r="D26" i="3"/>
  <c r="F26" i="3" s="1"/>
  <c r="D25" i="3"/>
  <c r="F25" i="3" s="1"/>
  <c r="M7" i="3"/>
  <c r="F20" i="3"/>
  <c r="D114" i="3"/>
  <c r="C94" i="3"/>
  <c r="D94" i="3" s="1"/>
  <c r="D85" i="3"/>
  <c r="D84" i="3"/>
  <c r="D83" i="3"/>
  <c r="D82" i="3"/>
  <c r="D69" i="3"/>
  <c r="K75" i="3" s="1"/>
  <c r="G30" i="3"/>
  <c r="F22" i="3"/>
  <c r="D89" i="1"/>
  <c r="D86" i="1"/>
  <c r="D85" i="1"/>
  <c r="E72" i="1"/>
  <c r="E73" i="1"/>
  <c r="E74" i="1"/>
  <c r="E71" i="1"/>
  <c r="D71" i="1"/>
  <c r="F24" i="1"/>
  <c r="M30" i="3" l="1"/>
  <c r="M84" i="3" s="1"/>
  <c r="K52" i="3"/>
  <c r="C95" i="3" s="1"/>
  <c r="D95" i="3" s="1"/>
  <c r="N90" i="3"/>
  <c r="N88" i="3"/>
  <c r="E56" i="4"/>
  <c r="F56" i="4" s="1"/>
  <c r="J32" i="3"/>
  <c r="M32" i="3" s="1"/>
  <c r="J24" i="3"/>
  <c r="D90" i="3"/>
  <c r="D91" i="3"/>
  <c r="D92" i="3"/>
  <c r="E85" i="1"/>
  <c r="E87" i="1"/>
  <c r="E86" i="1"/>
  <c r="D103" i="1"/>
  <c r="D58" i="1"/>
  <c r="K64" i="1" s="1"/>
  <c r="H29" i="4" l="1"/>
  <c r="L18" i="2"/>
  <c r="H32" i="4"/>
  <c r="H30" i="4"/>
  <c r="H31" i="4"/>
  <c r="J34" i="3"/>
  <c r="L17" i="2" s="1"/>
  <c r="J26" i="3"/>
  <c r="M33" i="3"/>
  <c r="M34" i="3" s="1"/>
  <c r="M7" i="2"/>
  <c r="N7" i="2" s="1"/>
  <c r="M8" i="2"/>
  <c r="N8" i="2" s="1"/>
  <c r="M9" i="2"/>
  <c r="N9" i="2" s="1"/>
  <c r="M10" i="2"/>
  <c r="N10" i="2" s="1"/>
  <c r="M11" i="2"/>
  <c r="N11" i="2" s="1"/>
  <c r="M4" i="2"/>
  <c r="N4" i="2" s="1"/>
  <c r="M5" i="2"/>
  <c r="N5" i="2" s="1"/>
  <c r="M6" i="2"/>
  <c r="N6" i="2" s="1"/>
  <c r="M3" i="2"/>
  <c r="G22" i="1"/>
  <c r="K41" i="1" s="1"/>
  <c r="F18" i="1"/>
  <c r="I31" i="4" l="1"/>
  <c r="K31" i="4"/>
  <c r="I30" i="4"/>
  <c r="K30" i="4"/>
  <c r="I32" i="4"/>
  <c r="K32" i="4"/>
  <c r="I29" i="4"/>
  <c r="I33" i="4" s="1"/>
  <c r="K29" i="4"/>
  <c r="L16" i="2"/>
  <c r="G66" i="8" s="1"/>
  <c r="C90" i="1"/>
  <c r="D90" i="1" s="1"/>
  <c r="M81" i="3"/>
  <c r="M35" i="3"/>
  <c r="M30" i="4"/>
  <c r="M32" i="4"/>
  <c r="M29" i="4"/>
  <c r="N3" i="2"/>
  <c r="G69" i="4"/>
  <c r="G75" i="4" s="1"/>
  <c r="H77" i="4" s="1"/>
  <c r="M31" i="4"/>
  <c r="H33" i="4"/>
  <c r="J45" i="3"/>
  <c r="J39" i="3"/>
  <c r="J46" i="3"/>
  <c r="J41" i="3"/>
  <c r="K41" i="3" s="1"/>
  <c r="J38" i="3"/>
  <c r="J44" i="3"/>
  <c r="J47" i="3"/>
  <c r="J40" i="3"/>
  <c r="K40" i="3" s="1"/>
  <c r="J42" i="3"/>
  <c r="J43" i="3"/>
  <c r="J27" i="1"/>
  <c r="K27" i="1" s="1"/>
  <c r="J33" i="1"/>
  <c r="J32" i="1"/>
  <c r="J30" i="1"/>
  <c r="K30" i="1" s="1"/>
  <c r="J31" i="1"/>
  <c r="J29" i="1"/>
  <c r="J28" i="1"/>
  <c r="K28" i="1" s="1"/>
  <c r="J36" i="1"/>
  <c r="J35" i="1"/>
  <c r="J34" i="1"/>
  <c r="L43" i="3" l="1"/>
  <c r="N43" i="3" s="1"/>
  <c r="K43" i="3"/>
  <c r="L42" i="3"/>
  <c r="N42" i="3" s="1"/>
  <c r="K42" i="3"/>
  <c r="L47" i="3"/>
  <c r="M47" i="3" s="1"/>
  <c r="K47" i="3"/>
  <c r="L44" i="3"/>
  <c r="M44" i="3" s="1"/>
  <c r="K44" i="3"/>
  <c r="L38" i="3"/>
  <c r="N38" i="3" s="1"/>
  <c r="J48" i="3"/>
  <c r="K38" i="3"/>
  <c r="K48" i="3" s="1"/>
  <c r="L46" i="3"/>
  <c r="K46" i="3"/>
  <c r="G69" i="3"/>
  <c r="G75" i="3" s="1"/>
  <c r="G77" i="3" s="1"/>
  <c r="K39" i="3"/>
  <c r="L45" i="3"/>
  <c r="K45" i="3"/>
  <c r="L31" i="1"/>
  <c r="N31" i="1" s="1"/>
  <c r="M31" i="1" s="1"/>
  <c r="K31" i="1"/>
  <c r="L32" i="1"/>
  <c r="N32" i="1" s="1"/>
  <c r="K32" i="1"/>
  <c r="L33" i="1"/>
  <c r="N33" i="1" s="1"/>
  <c r="K33" i="1"/>
  <c r="L34" i="1"/>
  <c r="M34" i="1" s="1"/>
  <c r="K34" i="1"/>
  <c r="L35" i="1"/>
  <c r="M35" i="1" s="1"/>
  <c r="K35" i="1"/>
  <c r="L36" i="1"/>
  <c r="N36" i="1" s="1"/>
  <c r="K36" i="1"/>
  <c r="G58" i="1"/>
  <c r="G64" i="1" s="1"/>
  <c r="G66" i="1" s="1"/>
  <c r="K29" i="1"/>
  <c r="L27" i="1"/>
  <c r="N27" i="1" s="1"/>
  <c r="J37" i="1"/>
  <c r="L41" i="3"/>
  <c r="N41" i="3" s="1"/>
  <c r="M41" i="3" s="1"/>
  <c r="N32" i="4"/>
  <c r="O32" i="4"/>
  <c r="O30" i="4"/>
  <c r="N30" i="4" s="1"/>
  <c r="O31" i="4"/>
  <c r="N31" i="4"/>
  <c r="O29" i="4"/>
  <c r="N29" i="4" s="1"/>
  <c r="E82" i="3"/>
  <c r="H82" i="3" s="1"/>
  <c r="E84" i="3"/>
  <c r="L30" i="1"/>
  <c r="N30" i="1" s="1"/>
  <c r="M30" i="1" s="1"/>
  <c r="D74" i="1" s="1"/>
  <c r="E83" i="3"/>
  <c r="E85" i="3"/>
  <c r="F73" i="1"/>
  <c r="F72" i="1"/>
  <c r="F74" i="1"/>
  <c r="F71" i="1"/>
  <c r="G71" i="1" s="1"/>
  <c r="L39" i="3"/>
  <c r="N39" i="3" s="1"/>
  <c r="L40" i="3"/>
  <c r="N40" i="3" s="1"/>
  <c r="N46" i="3"/>
  <c r="M46" i="3"/>
  <c r="M45" i="3"/>
  <c r="N45" i="3"/>
  <c r="L29" i="1"/>
  <c r="L28" i="1"/>
  <c r="M42" i="3" l="1"/>
  <c r="C85" i="3" s="1"/>
  <c r="G85" i="3" s="1"/>
  <c r="H85" i="3" s="1"/>
  <c r="M43" i="3"/>
  <c r="N47" i="3"/>
  <c r="M38" i="3"/>
  <c r="N44" i="3"/>
  <c r="N33" i="4"/>
  <c r="N48" i="3"/>
  <c r="M32" i="1"/>
  <c r="M36" i="1"/>
  <c r="N35" i="1"/>
  <c r="M33" i="1"/>
  <c r="K37" i="1"/>
  <c r="N34" i="1"/>
  <c r="M27" i="1"/>
  <c r="D72" i="1" s="1"/>
  <c r="G72" i="1" s="1"/>
  <c r="G74" i="1"/>
  <c r="D82" i="4"/>
  <c r="E82" i="4" s="1"/>
  <c r="D66" i="4"/>
  <c r="E66" i="4" s="1"/>
  <c r="D81" i="1"/>
  <c r="G81" i="1" s="1"/>
  <c r="M40" i="3"/>
  <c r="M39" i="3"/>
  <c r="M89" i="3"/>
  <c r="N89" i="3" s="1"/>
  <c r="M85" i="3"/>
  <c r="N85" i="3" s="1"/>
  <c r="N29" i="1"/>
  <c r="M29" i="1" s="1"/>
  <c r="N28" i="1"/>
  <c r="M28" i="1"/>
  <c r="D79" i="1" s="1"/>
  <c r="G79" i="1" s="1"/>
  <c r="M48" i="3" l="1"/>
  <c r="N37" i="1"/>
  <c r="M37" i="1"/>
  <c r="C84" i="3"/>
  <c r="G84" i="3" s="1"/>
  <c r="H84" i="3" s="1"/>
  <c r="D80" i="1"/>
  <c r="G80" i="1" s="1"/>
  <c r="D73" i="1"/>
  <c r="G73" i="1" s="1"/>
  <c r="M87" i="3"/>
  <c r="N87" i="3" s="1"/>
  <c r="C83" i="3"/>
  <c r="G83" i="3" s="1"/>
  <c r="H83" i="3" s="1"/>
  <c r="M82" i="3"/>
  <c r="N82" i="3" s="1"/>
</calcChain>
</file>

<file path=xl/sharedStrings.xml><?xml version="1.0" encoding="utf-8"?>
<sst xmlns="http://schemas.openxmlformats.org/spreadsheetml/2006/main" count="889" uniqueCount="469">
  <si>
    <t>HARVEST Shared Services Center</t>
  </si>
  <si>
    <t>Name:</t>
  </si>
  <si>
    <t>Department:</t>
  </si>
  <si>
    <t>Title:</t>
  </si>
  <si>
    <t>In accordance with Summer Compensation Guidelines for Academic Employees, compensation may be paid for employment during the summer service period.</t>
  </si>
  <si>
    <t>Section 1:</t>
  </si>
  <si>
    <t>(To be completed by academic appointee)</t>
  </si>
  <si>
    <t>I request summer salary compensation as follows:</t>
  </si>
  <si>
    <t>Annual Rate (as of June):</t>
  </si>
  <si>
    <t>9th Rate:</t>
  </si>
  <si>
    <t>Annual Rate (as of July, including approved M&amp;P):</t>
  </si>
  <si>
    <t>Month</t>
  </si>
  <si>
    <t>Month*</t>
  </si>
  <si>
    <t>FTE (enter as decimal)</t>
  </si>
  <si>
    <t>Award Issue date</t>
  </si>
  <si>
    <t>Use Current Salary Cap?</t>
  </si>
  <si>
    <t>Supplemental Funding Needed?</t>
  </si>
  <si>
    <t>Supplemental Amount</t>
  </si>
  <si>
    <t>I will be teaching summer session.</t>
  </si>
  <si>
    <t>(Refer to your administrative appointment election form)</t>
  </si>
  <si>
    <t>I certify the information above is correct.</t>
  </si>
  <si>
    <t xml:space="preserve">Section 2: </t>
  </si>
  <si>
    <t>Yes</t>
  </si>
  <si>
    <t>No</t>
  </si>
  <si>
    <t>NIH</t>
  </si>
  <si>
    <t>NSF</t>
  </si>
  <si>
    <t>C&amp;G</t>
  </si>
  <si>
    <t>Gift</t>
  </si>
  <si>
    <t>General Funds</t>
  </si>
  <si>
    <t>Other</t>
  </si>
  <si>
    <t>Professor</t>
  </si>
  <si>
    <t>Professor B/E/E</t>
  </si>
  <si>
    <t>Assoc. Professor</t>
  </si>
  <si>
    <t>Assoc. Professor B/E/E</t>
  </si>
  <si>
    <t>Asst. Professor</t>
  </si>
  <si>
    <t>Asst. Professor B/E/E</t>
  </si>
  <si>
    <t>Sr. Lecturer SOE</t>
  </si>
  <si>
    <t>Lecturer SOE</t>
  </si>
  <si>
    <t>Lecturer PSOE</t>
  </si>
  <si>
    <t>June</t>
  </si>
  <si>
    <t>July</t>
  </si>
  <si>
    <t>August</t>
  </si>
  <si>
    <t>September</t>
  </si>
  <si>
    <t>Prior to paying summer salary compensation, care must be taken by the department to ensure that previously paid or scheduled summer salary compensation does not put the academic appointee over the 3/9ths maximum.</t>
  </si>
  <si>
    <t>Ladder-rank faculty may be compensated up to a maximum of 3/9ths, or 1/3 of the individual's academic-year annual salary rate for activities assigned during the summer (June-September).</t>
  </si>
  <si>
    <r>
      <t xml:space="preserve">Reduce Salary to Cap Amount? </t>
    </r>
    <r>
      <rPr>
        <b/>
        <vertAlign val="superscript"/>
        <sz val="11"/>
        <color theme="1"/>
        <rFont val="Calibri"/>
        <family val="2"/>
        <scheme val="minor"/>
      </rPr>
      <t>1</t>
    </r>
  </si>
  <si>
    <t>Rate x FTE</t>
  </si>
  <si>
    <t>NIH Cap</t>
  </si>
  <si>
    <t>Executive Level II</t>
  </si>
  <si>
    <t>https://grants.nih.gov/grants/policy/salcap_summary.htm</t>
  </si>
  <si>
    <t>Fund Type (Applicable Salary Cap)**</t>
  </si>
  <si>
    <t>NSF Cap</t>
  </si>
  <si>
    <t>** Custom salary cap value (other than NIH or NSF):</t>
  </si>
  <si>
    <t>1 / 9</t>
  </si>
  <si>
    <t>1.5 / 9</t>
  </si>
  <si>
    <t>2 / 9</t>
  </si>
  <si>
    <t>2.5 / 9</t>
  </si>
  <si>
    <t>3 / 9</t>
  </si>
  <si>
    <r>
      <rPr>
        <vertAlign val="superscript"/>
        <sz val="8"/>
        <color theme="1"/>
        <rFont val="Calibri"/>
        <family val="2"/>
        <scheme val="minor"/>
      </rPr>
      <t>1</t>
    </r>
    <r>
      <rPr>
        <sz val="8"/>
        <color theme="1"/>
        <rFont val="Calibri"/>
        <family val="2"/>
        <scheme val="minor"/>
      </rPr>
      <t xml:space="preserve"> I understand that my salary will be reduced on my summer research appointment, and I will be paid the calculated fixed amount shown.</t>
    </r>
  </si>
  <si>
    <t>Has (or will) any pay been issued on NSF funds that is not included on this form, but does count toward the NSF cap?</t>
  </si>
  <si>
    <t>(if yes, please reduce the amounts paid on NSF funds to be lower than or equal to the cap.)</t>
  </si>
  <si>
    <t>Total NSF included on this form:</t>
  </si>
  <si>
    <t>FTE:</t>
  </si>
  <si>
    <t>Amount:</t>
  </si>
  <si>
    <t xml:space="preserve">If yes, what are the additional amounts paid / to be paid at the: </t>
  </si>
  <si>
    <t>Section 3:</t>
  </si>
  <si>
    <t>Reviewed by:</t>
  </si>
  <si>
    <t>Date</t>
  </si>
  <si>
    <t>HARVEST OFFICE USE ONLY</t>
  </si>
  <si>
    <t>EMPL ID:</t>
  </si>
  <si>
    <t>Job Code:</t>
  </si>
  <si>
    <t>ERN Code:</t>
  </si>
  <si>
    <t>9th Rate Confirmed</t>
  </si>
  <si>
    <t>ACR</t>
  </si>
  <si>
    <t>DIF</t>
  </si>
  <si>
    <t>ACA</t>
  </si>
  <si>
    <t>ACS</t>
  </si>
  <si>
    <t>001100</t>
  </si>
  <si>
    <t>001200</t>
  </si>
  <si>
    <t>001143</t>
  </si>
  <si>
    <t>001243</t>
  </si>
  <si>
    <t>001300</t>
  </si>
  <si>
    <t>001343</t>
  </si>
  <si>
    <t>001607</t>
  </si>
  <si>
    <t>001603</t>
  </si>
  <si>
    <t>001680</t>
  </si>
  <si>
    <t>003205</t>
  </si>
  <si>
    <t>001982</t>
  </si>
  <si>
    <t>003215</t>
  </si>
  <si>
    <t>001984</t>
  </si>
  <si>
    <t>003225</t>
  </si>
  <si>
    <t>001986</t>
  </si>
  <si>
    <t>001604</t>
  </si>
  <si>
    <t>001608</t>
  </si>
  <si>
    <t>001681</t>
  </si>
  <si>
    <t>003201</t>
  </si>
  <si>
    <t>003211</t>
  </si>
  <si>
    <t>003221</t>
  </si>
  <si>
    <t>AFR</t>
  </si>
  <si>
    <t>APSU Reviewer</t>
  </si>
  <si>
    <t>Payroll Reviewer</t>
  </si>
  <si>
    <t>NOTES</t>
  </si>
  <si>
    <t>Revision Date</t>
  </si>
  <si>
    <t>Revision Comments</t>
  </si>
  <si>
    <t>Additional Amount:</t>
  </si>
  <si>
    <t>Additional FTE:</t>
  </si>
  <si>
    <t>Total FTE:</t>
  </si>
  <si>
    <t>Total Amount:</t>
  </si>
  <si>
    <t>Does the total FTE paid on NSF funds exceed the 2/9ths cap or equivalent value?</t>
  </si>
  <si>
    <t>(To be completed/reviewed by the Department Financial Analyst)</t>
  </si>
  <si>
    <t>Amount</t>
  </si>
  <si>
    <t>Prorated Cap</t>
  </si>
  <si>
    <t>FTE</t>
  </si>
  <si>
    <t>Audit Flag</t>
  </si>
  <si>
    <t>Current NIH Cap</t>
  </si>
  <si>
    <t>NSF Audit</t>
  </si>
  <si>
    <t xml:space="preserve">NIH Audit </t>
  </si>
  <si>
    <t>Summer 9ths Audit</t>
  </si>
  <si>
    <t>FTE Total</t>
  </si>
  <si>
    <t>June + September</t>
  </si>
  <si>
    <t>1/9th Audit Flag</t>
  </si>
  <si>
    <t>Per Diem rates per APO Guidelines:</t>
  </si>
  <si>
    <t xml:space="preserve">The maximum 3/9ths total includes all UC paid summer compensation for summer session teaching, administrative appointments and research ninths. </t>
  </si>
  <si>
    <t>CNAS preferred summer salary usage is 1 FTE for July, August, &amp; September.</t>
  </si>
  <si>
    <t>NSC Value:</t>
  </si>
  <si>
    <t>FTE Split</t>
  </si>
  <si>
    <t>IR:</t>
  </si>
  <si>
    <t>OR:</t>
  </si>
  <si>
    <t>CE:</t>
  </si>
  <si>
    <t>IR Salary</t>
  </si>
  <si>
    <t>OR Salary</t>
  </si>
  <si>
    <t>CE Salary</t>
  </si>
  <si>
    <t>IR 9th Rate</t>
  </si>
  <si>
    <t>OR 9th Rate</t>
  </si>
  <si>
    <t>CE 9th Rate</t>
  </si>
  <si>
    <t>CNAS guidelines for NSTP participants:  required use of taking 1/9th for July, August and September to max the required 3/9ths summer salary.</t>
  </si>
  <si>
    <t>Prior to paying summer salary compensation, care must be taken by the department to ensure that previously paid or scheduled summer salary compensation does not put the academic appointee over the 3/9ths maximum for the summer period of June - September.</t>
  </si>
  <si>
    <t>NSC Summer Salary Rate:</t>
  </si>
  <si>
    <t xml:space="preserve"> 1/9th increment:</t>
  </si>
  <si>
    <t>Total Summer Increment:</t>
  </si>
  <si>
    <t>Summer Salary</t>
  </si>
  <si>
    <t>NSTP SS</t>
  </si>
  <si>
    <t>Total 9th Rate:</t>
  </si>
  <si>
    <t>NSTP Audit</t>
  </si>
  <si>
    <t>Total Base Summer Salary:</t>
  </si>
  <si>
    <t>Total Summer Salary:</t>
  </si>
  <si>
    <t>Original TUCS:</t>
  </si>
  <si>
    <t>Final TUCS:</t>
  </si>
  <si>
    <t>Total Summer Salary</t>
  </si>
  <si>
    <t>Total Assigned FAU</t>
  </si>
  <si>
    <t>Base Summer Salary</t>
  </si>
  <si>
    <t>Total 19900</t>
  </si>
  <si>
    <t>Monthly 19900</t>
  </si>
  <si>
    <t>College of Natural and Agricultural Sciences</t>
  </si>
  <si>
    <t>Fiscal-Year Appointees and/or Cooperative Extension Specialists</t>
  </si>
  <si>
    <t>Section 1: Exception Description</t>
  </si>
  <si>
    <t xml:space="preserve"> (To be completed by the Faculty/PI)</t>
  </si>
  <si>
    <t>Please describe the exceptional circumstances necessitating this work:</t>
  </si>
  <si>
    <t>a.)</t>
  </si>
  <si>
    <t>and ending</t>
  </si>
  <si>
    <t>b.)</t>
  </si>
  <si>
    <t>The number of accrued vacation days to be deducted from my vacation balance is:</t>
  </si>
  <si>
    <t>c.)</t>
  </si>
  <si>
    <t>FAU's and dates to be charged:</t>
  </si>
  <si>
    <t>Fund Type</t>
  </si>
  <si>
    <t>d.)</t>
  </si>
  <si>
    <t>e.)</t>
  </si>
  <si>
    <t>Does any FAU above a salary cap?</t>
  </si>
  <si>
    <t>f.)</t>
  </si>
  <si>
    <t>NIH:</t>
  </si>
  <si>
    <t>NSF:</t>
  </si>
  <si>
    <t>OTHER:</t>
  </si>
  <si>
    <t>I certify the information above is correct</t>
  </si>
  <si>
    <t>Section 2: Funding Information</t>
  </si>
  <si>
    <t>(To be completed by the Department Financial Analyst)</t>
  </si>
  <si>
    <t>IR</t>
  </si>
  <si>
    <t>OR</t>
  </si>
  <si>
    <t>Salary x FTE</t>
  </si>
  <si>
    <t>Section 3: Capped Funding Only</t>
  </si>
  <si>
    <t>(To be completed if "Yes" on Section 1.e.)</t>
  </si>
  <si>
    <t>October</t>
  </si>
  <si>
    <t>November</t>
  </si>
  <si>
    <t>December</t>
  </si>
  <si>
    <t>February</t>
  </si>
  <si>
    <t>March</t>
  </si>
  <si>
    <t>April</t>
  </si>
  <si>
    <t>May</t>
  </si>
  <si>
    <t>January</t>
  </si>
  <si>
    <t>If other, please provide an explanation of the fund's salary cap rules:</t>
  </si>
  <si>
    <r>
      <t>I request additional compensation under Academic Personnel Manual Policy 600-14-c for work that I will perform during my vacation (see below for FY appointees &amp; CE Specialists</t>
    </r>
    <r>
      <rPr>
        <vertAlign val="superscript"/>
        <sz val="11"/>
        <color theme="1"/>
        <rFont val="Calibri"/>
        <family val="2"/>
        <scheme val="minor"/>
      </rPr>
      <t>1</t>
    </r>
    <r>
      <rPr>
        <sz val="11"/>
        <color theme="1"/>
        <rFont val="Calibri"/>
        <family val="2"/>
        <scheme val="minor"/>
      </rPr>
      <t>).</t>
    </r>
  </si>
  <si>
    <r>
      <t>I understand that compensation from State general funds is not permitted, and agree to forfeit the number of vacation days that correspond to the days for which I will receive compensation, and may not exceed these proportions of annual salary</t>
    </r>
    <r>
      <rPr>
        <vertAlign val="superscript"/>
        <sz val="11"/>
        <color theme="1"/>
        <rFont val="Calibri"/>
        <family val="2"/>
        <scheme val="minor"/>
      </rPr>
      <t>2, 3</t>
    </r>
    <r>
      <rPr>
        <sz val="11"/>
        <color theme="1"/>
        <rFont val="Calibri"/>
        <family val="2"/>
        <scheme val="minor"/>
      </rPr>
      <t>.</t>
    </r>
  </si>
  <si>
    <r>
      <t>Is any FAU above a sponsored project</t>
    </r>
    <r>
      <rPr>
        <vertAlign val="superscript"/>
        <sz val="11"/>
        <color theme="1"/>
        <rFont val="Calibri"/>
        <family val="2"/>
        <scheme val="minor"/>
      </rPr>
      <t>4</t>
    </r>
    <r>
      <rPr>
        <sz val="11"/>
        <color theme="1"/>
        <rFont val="Calibri"/>
        <family val="2"/>
        <scheme val="minor"/>
      </rPr>
      <t>?</t>
    </r>
  </si>
  <si>
    <t>1/11</t>
  </si>
  <si>
    <t>1/12</t>
  </si>
  <si>
    <t>Rate</t>
  </si>
  <si>
    <t>Where can I find EMPL ID or Net ID?</t>
  </si>
  <si>
    <t>Department Chair</t>
  </si>
  <si>
    <t>001096</t>
  </si>
  <si>
    <t>Vice Chair</t>
  </si>
  <si>
    <t>001094</t>
  </si>
  <si>
    <t>Director</t>
  </si>
  <si>
    <t>000900</t>
  </si>
  <si>
    <t>2023 Working Days Grid</t>
  </si>
  <si>
    <t># Holidays</t>
  </si>
  <si>
    <t>Working hours - Holdidays</t>
  </si>
  <si>
    <t># Working Hours</t>
  </si>
  <si>
    <t># Vacation Days</t>
  </si>
  <si>
    <t>Rate x Percent</t>
  </si>
  <si>
    <t>Annual Salary</t>
  </si>
  <si>
    <t>CE *</t>
  </si>
  <si>
    <t>*CE appointments are not recorded on UCR ledgers.  Please reach out to APSU for CE salary.</t>
  </si>
  <si>
    <t xml:space="preserve">I will preform the work described above </t>
  </si>
  <si>
    <t>starting</t>
  </si>
  <si>
    <r>
      <rPr>
        <vertAlign val="superscript"/>
        <sz val="8"/>
        <color theme="1"/>
        <rFont val="Calibri"/>
        <family val="2"/>
        <scheme val="minor"/>
      </rPr>
      <t>1</t>
    </r>
    <r>
      <rPr>
        <sz val="8"/>
        <color theme="1"/>
        <rFont val="Calibri"/>
        <family val="2"/>
        <scheme val="minor"/>
      </rPr>
      <t>CE Specialists- please consult with your Academic Personnel Service Unit (APSU) Analyst to determine your eligibility.</t>
    </r>
  </si>
  <si>
    <r>
      <rPr>
        <vertAlign val="superscript"/>
        <sz val="8"/>
        <color theme="1"/>
        <rFont val="Calibri"/>
        <family val="2"/>
        <scheme val="minor"/>
      </rPr>
      <t>2</t>
    </r>
    <r>
      <rPr>
        <sz val="8"/>
        <color theme="1"/>
        <rFont val="Calibri"/>
        <family val="2"/>
        <scheme val="minor"/>
      </rPr>
      <t>CE Specialists- the additional compensation must come from extramural grants, based on an approved budget which includes PI summer compensation. No state or commodity funds (including endowment payout or various donor funds) may be used.</t>
    </r>
  </si>
  <si>
    <r>
      <rPr>
        <vertAlign val="superscript"/>
        <sz val="8"/>
        <color theme="1"/>
        <rFont val="Calibri"/>
        <family val="2"/>
        <scheme val="minor"/>
      </rPr>
      <t>3</t>
    </r>
    <r>
      <rPr>
        <sz val="8"/>
        <color theme="1"/>
        <rFont val="Calibri"/>
        <family val="2"/>
        <scheme val="minor"/>
      </rPr>
      <t>The use of State general funds (19900) is prohibited. Various donor funds may be used. Extramural funds may be used only if additional compensation has been budgeted or written by exception.</t>
    </r>
  </si>
  <si>
    <r>
      <rPr>
        <vertAlign val="superscript"/>
        <sz val="8"/>
        <color theme="1"/>
        <rFont val="Calibri"/>
        <family val="2"/>
        <scheme val="minor"/>
      </rPr>
      <t>4</t>
    </r>
    <r>
      <rPr>
        <sz val="8"/>
        <color theme="1"/>
        <rFont val="Calibri"/>
        <family val="2"/>
        <scheme val="minor"/>
      </rPr>
      <t>Sponsored Project Certification: I understand that any percentage of time charged to a sponsored project requires me to be exclusively engaged in the research project for the same percentage of time.</t>
    </r>
  </si>
  <si>
    <t>Rate:</t>
  </si>
  <si>
    <t>Salary:</t>
  </si>
  <si>
    <t>CE Specialist</t>
  </si>
  <si>
    <t>Assoc. CE Specialist</t>
  </si>
  <si>
    <t>Asst. CE Specialist</t>
  </si>
  <si>
    <t>003479</t>
  </si>
  <si>
    <t>003477</t>
  </si>
  <si>
    <t>003475</t>
  </si>
  <si>
    <t>11th or 12th Rate Confirmed</t>
  </si>
  <si>
    <t>Add'l Comp Job Code:</t>
  </si>
  <si>
    <t>Total</t>
  </si>
  <si>
    <t>Monthly Summer Cap</t>
  </si>
  <si>
    <t>Total Summer Cap</t>
  </si>
  <si>
    <t>Additional Comp</t>
  </si>
  <si>
    <t>NIH Audit</t>
  </si>
  <si>
    <t>NIH Audit Flag</t>
  </si>
  <si>
    <t>Effort (as decimal)</t>
  </si>
  <si>
    <t>Total NIH Additional Comp Max</t>
  </si>
  <si>
    <t>Total NIH listed</t>
  </si>
  <si>
    <t xml:space="preserve">CNAS guidelines: The preferred use is taking 1/9th in July, August and September when maximizing 3/9ths summer salary. However, June can be utilized if needed. June and September up to 1.000 will be allowed. </t>
  </si>
  <si>
    <t>summertime</t>
  </si>
  <si>
    <t>password:</t>
  </si>
  <si>
    <t>This field must be complete to calculate below.   If no M&amp;P or M&amp;P is still pending, enter the annual rate as of June.</t>
  </si>
  <si>
    <t>003000</t>
  </si>
  <si>
    <t>Agron AES - FY</t>
  </si>
  <si>
    <t>Assoc Agron AES - FY</t>
  </si>
  <si>
    <t>Asst. Agron AES - FY</t>
  </si>
  <si>
    <t>003010</t>
  </si>
  <si>
    <t>003020</t>
  </si>
  <si>
    <t>* Per Diem flag is for faculty taking June and September</t>
  </si>
  <si>
    <t>Per Diem Flag*</t>
  </si>
  <si>
    <t>CNAS preferred summer salary usage is 1 FTE for July, August, &amp; September. Disregard Per Diem Flag when following CNAS Guidelines</t>
  </si>
  <si>
    <t>TOTAL NIH</t>
  </si>
  <si>
    <t>Annual NSTP Increment on NIH Funds*</t>
  </si>
  <si>
    <t>* Annual NSTP Increment is the additional amount paid July-June as part of the NSTP agreement.  If the increment is paid on NIH funds, include it here.</t>
  </si>
  <si>
    <t>NIFA</t>
  </si>
  <si>
    <t>NIFA CAP</t>
  </si>
  <si>
    <t>Executive Level IV</t>
  </si>
  <si>
    <t>Monthly</t>
  </si>
  <si>
    <t>Total Cap</t>
  </si>
  <si>
    <t>https://www.opm.gov/policy-data-oversight/pay-leave/salaries-wages/</t>
  </si>
  <si>
    <t>NIFA Audit</t>
  </si>
  <si>
    <t>Current NIFA Cap</t>
  </si>
  <si>
    <t>Total NIFA Additional Comp Max</t>
  </si>
  <si>
    <t>Total NIFA listed</t>
  </si>
  <si>
    <t>Salary Cap Amount (at 100%)</t>
  </si>
  <si>
    <t>New</t>
  </si>
  <si>
    <t>Revision</t>
  </si>
  <si>
    <t>Request Type:</t>
  </si>
  <si>
    <t>Comments:</t>
  </si>
  <si>
    <t>PI Net ID:</t>
  </si>
  <si>
    <t>Section 4:</t>
  </si>
  <si>
    <t>(note: calculation fields will populate once section 2 is completed)</t>
  </si>
  <si>
    <t>My appointment date was made prior to July 1, 2014 (1/11)</t>
  </si>
  <si>
    <t>My appointment date was made on or after July 1, 2014 (1/12)</t>
  </si>
  <si>
    <t>I am 100% Cooperative Extension (CE) Specialist (1/12)</t>
  </si>
  <si>
    <t>if no appointment type is selected at the top of the worksheet, calculations default to 1/11 rate</t>
  </si>
  <si>
    <t>FTE should total 1.00 for most faculty</t>
  </si>
  <si>
    <t>Primary Title:</t>
  </si>
  <si>
    <t>Where can I find Faculty salary and FTE breakdown?</t>
  </si>
  <si>
    <t>The best way to find the current annual salary and FTE breakdown can be found on the Employee Funding Roster (EFR).</t>
  </si>
  <si>
    <t>The EFR can be loaded from the snapshot home page under the reports tab.</t>
  </si>
  <si>
    <t xml:space="preserve">The Employee ID of EMPL ID can also be found on the Employee Funding Roster (EFR). </t>
  </si>
  <si>
    <t>(To be completed by Department Financial Analyst)</t>
  </si>
  <si>
    <t>Financial Analyst</t>
  </si>
  <si>
    <r>
      <t xml:space="preserve">Fiscal-year (FY) appointees additional compensation rate is determined by appointment type and date.  Please </t>
    </r>
    <r>
      <rPr>
        <b/>
        <sz val="11"/>
        <color theme="1"/>
        <rFont val="Calibri"/>
        <family val="2"/>
        <scheme val="minor"/>
      </rPr>
      <t>select one</t>
    </r>
    <r>
      <rPr>
        <sz val="11"/>
        <color theme="1"/>
        <rFont val="Calibri"/>
        <family val="2"/>
        <scheme val="minor"/>
      </rPr>
      <t xml:space="preserve"> of the following:</t>
    </r>
  </si>
  <si>
    <t>Professor - FY</t>
  </si>
  <si>
    <t>001110</t>
  </si>
  <si>
    <t>Assoc. Professor - FY</t>
  </si>
  <si>
    <t>001210</t>
  </si>
  <si>
    <t>Asst. Professor - FY</t>
  </si>
  <si>
    <t>001310</t>
  </si>
  <si>
    <t>Agricultural Operations</t>
  </si>
  <si>
    <t>Biochemistry</t>
  </si>
  <si>
    <t>Botany and Plant Sciences</t>
  </si>
  <si>
    <t>Chemistry</t>
  </si>
  <si>
    <t>Earth and Planetary Sciences</t>
  </si>
  <si>
    <t>Entomology</t>
  </si>
  <si>
    <t>Environmental Sciences</t>
  </si>
  <si>
    <t>Evolution, Ecology &amp; Orgns Bio</t>
  </si>
  <si>
    <t>Mathematics</t>
  </si>
  <si>
    <t>Microbiology &amp; Plant Pathology</t>
  </si>
  <si>
    <t>Molecular, Cell &amp; Systems Bio</t>
  </si>
  <si>
    <t>Natural Reserves</t>
  </si>
  <si>
    <t>Nematology</t>
  </si>
  <si>
    <t>Physics and Astronomy</t>
  </si>
  <si>
    <t>Statistics</t>
  </si>
  <si>
    <t>Net ID:</t>
  </si>
  <si>
    <t>Total NSTP</t>
  </si>
  <si>
    <t>G33 on NSTP Form B side 2</t>
  </si>
  <si>
    <t>should match K50 on Form B side 1</t>
  </si>
  <si>
    <t>Faculty Confirmation</t>
  </si>
  <si>
    <t>Date:</t>
  </si>
  <si>
    <t>Transaction ID:</t>
  </si>
  <si>
    <t>Confirmed UCPATH Accrual Adjustment (# of decrement days)</t>
  </si>
  <si>
    <t>Insert image of approval email for records.</t>
  </si>
  <si>
    <t>image of PI approval email can be added to "Approval email" tab for the record</t>
  </si>
  <si>
    <t>g.)</t>
  </si>
  <si>
    <t xml:space="preserve">Account: </t>
  </si>
  <si>
    <t>NSTP Summer Salary</t>
  </si>
  <si>
    <t>Type the approval names in the appropriate sections of the appropriate form</t>
  </si>
  <si>
    <t>Insert a screen shot of the PI's approval on the "Approval email" tab</t>
  </si>
  <si>
    <t>Complete the appropriate form on one of the following tabs:</t>
  </si>
  <si>
    <t>Directions for use:</t>
  </si>
  <si>
    <t>Upload the excel version of the completed form to Kuali Build</t>
  </si>
  <si>
    <t>Last Updated:</t>
  </si>
  <si>
    <t>By:</t>
  </si>
  <si>
    <t>Cherie Pierce</t>
  </si>
  <si>
    <t>Please ensure the image is legible.</t>
  </si>
  <si>
    <t>Account:</t>
  </si>
  <si>
    <t>Anthro/Soci Admin Unit</t>
  </si>
  <si>
    <t>Anthropology</t>
  </si>
  <si>
    <t>Archaeological Research Unit</t>
  </si>
  <si>
    <t>Art</t>
  </si>
  <si>
    <t>Art/Art History Admin</t>
  </si>
  <si>
    <t>CHA&amp;SS  Unallocated Res.</t>
  </si>
  <si>
    <t>CHA&amp;SS Dean's Office</t>
  </si>
  <si>
    <t>CHA&amp;SS Student Affairs</t>
  </si>
  <si>
    <t>CHASS Facilities MGMT</t>
  </si>
  <si>
    <t>Cntr for Biblio. Studies</t>
  </si>
  <si>
    <t>Cntr for Ideas and Society</t>
  </si>
  <si>
    <t>Cntr for Social &amp; Beh. Sci Res</t>
  </si>
  <si>
    <t>Comp Lit &amp; For Lang/Hisp Admin</t>
  </si>
  <si>
    <t>Comparative Lit &amp; Languages</t>
  </si>
  <si>
    <t>Creative Writing</t>
  </si>
  <si>
    <t>Dance</t>
  </si>
  <si>
    <t>Econ/Poli Sci Admin Unit</t>
  </si>
  <si>
    <t>Economics</t>
  </si>
  <si>
    <t>English</t>
  </si>
  <si>
    <t>English/Hist/Phil Admin Unit</t>
  </si>
  <si>
    <t>Ethnic Studies</t>
  </si>
  <si>
    <t>Gender &amp; Sexuality Studies</t>
  </si>
  <si>
    <t>Gluck Administration</t>
  </si>
  <si>
    <t>Hispanic Studies</t>
  </si>
  <si>
    <t>History</t>
  </si>
  <si>
    <t>History of Art</t>
  </si>
  <si>
    <t>Institute-Resch: World Systems</t>
  </si>
  <si>
    <t>Latin American Studies</t>
  </si>
  <si>
    <t>Liberal Stds &amp; lnterdisc Prgs</t>
  </si>
  <si>
    <t>Media &amp; Cultural Studies</t>
  </si>
  <si>
    <t>MFA Writing Desert Campus</t>
  </si>
  <si>
    <t>Multidisciplinary Admin Unit</t>
  </si>
  <si>
    <t>Music</t>
  </si>
  <si>
    <t>Performing Arts Admin</t>
  </si>
  <si>
    <t>Philosophy</t>
  </si>
  <si>
    <t>Physical Education-Inactive</t>
  </si>
  <si>
    <t>Political Science</t>
  </si>
  <si>
    <t>Psychology</t>
  </si>
  <si>
    <t>Religious Studies</t>
  </si>
  <si>
    <t>Sociology</t>
  </si>
  <si>
    <t>Theatre</t>
  </si>
  <si>
    <t>UCR ARTS</t>
  </si>
  <si>
    <t>Black Studies</t>
  </si>
  <si>
    <t>Society Envmt Health Equity</t>
  </si>
  <si>
    <t>CNAS Only</t>
  </si>
  <si>
    <t>December 2025</t>
  </si>
  <si>
    <t>November 2025</t>
  </si>
  <si>
    <t>October 2025</t>
  </si>
  <si>
    <t>September 2025</t>
  </si>
  <si>
    <t>August 2025</t>
  </si>
  <si>
    <t>July 2025</t>
  </si>
  <si>
    <t>June 2025</t>
  </si>
  <si>
    <t>May 2025</t>
  </si>
  <si>
    <t>April 2025</t>
  </si>
  <si>
    <t>March 2025</t>
  </si>
  <si>
    <t>February 2025</t>
  </si>
  <si>
    <t>January 2025</t>
  </si>
  <si>
    <t>December 2024</t>
  </si>
  <si>
    <t>November 2024</t>
  </si>
  <si>
    <t>October 2024</t>
  </si>
  <si>
    <t>September 2024</t>
  </si>
  <si>
    <t>August 2024</t>
  </si>
  <si>
    <t>July 2024</t>
  </si>
  <si>
    <t>June 2024</t>
  </si>
  <si>
    <t>May 2024</t>
  </si>
  <si>
    <t>April 2024</t>
  </si>
  <si>
    <t>March 2024</t>
  </si>
  <si>
    <t>February 2024</t>
  </si>
  <si>
    <t>January 2024</t>
  </si>
  <si>
    <t>COA (Entity-Fund-Activity-Functn-Program-Project-Flex1-Flex2)</t>
  </si>
  <si>
    <t>Supplemental COA (non-capped funding source)
(Entity-Fund-Activity-Functn-Program-Project-Flex1-Flex2)</t>
  </si>
  <si>
    <t>Fiscal Year 2024-2025 UCR Additional Compensation Exceptional Requests</t>
  </si>
  <si>
    <t>2024 Summer Salary (FY25) - Academic Year Appointees</t>
  </si>
  <si>
    <t>June 2024:</t>
  </si>
  <si>
    <t>July 2024:</t>
  </si>
  <si>
    <t>Aug 2024:</t>
  </si>
  <si>
    <t>Sept 2024:</t>
  </si>
  <si>
    <t>I have applied to participate in NSTP in AY 24-25.</t>
  </si>
  <si>
    <t>Amount of Prime COA</t>
  </si>
  <si>
    <t>*The combined percentages paid for June and September must not exceed 100% when compensation for both July and August are at 100%, and cannot exceed 3/9ths or 57 days for the summer period. Note: M/P rate increases effective July 1, 2024 will not be considered in the June request.</t>
  </si>
  <si>
    <t>I currently have an administrative appointment in AY 24-25 and have elected to receive summer salary at a maximum of</t>
  </si>
  <si>
    <t>2024 Summer Salary (FY25)- CNAS Academic Year Appointees with NSTP</t>
  </si>
  <si>
    <t>I have been approved to participate in NSTP in AY 24-25.</t>
  </si>
  <si>
    <t>I currently have an administrative appointment in 24-25 and have elected to receive summer salary at a maximum of</t>
  </si>
  <si>
    <t>COA 
(Entity-Fund-Activity-Functn-Program-Project-Flex1-Flex2)</t>
  </si>
  <si>
    <t>For NSTP:  FORM B to replace Summer Salary form for FY25 NSTP application cycle</t>
  </si>
  <si>
    <t>The Employee NetID can be found at profiles.ucr.edu</t>
  </si>
  <si>
    <t>Be sure to log in before you search</t>
  </si>
  <si>
    <t>Section 5:</t>
  </si>
  <si>
    <t>DIV DEAN APPROVAL</t>
  </si>
  <si>
    <t>CNAS</t>
  </si>
  <si>
    <t>CHASS</t>
  </si>
  <si>
    <t>HARVEST Shared Services Center - CHASS</t>
  </si>
  <si>
    <t>Summer Salary CNAS</t>
  </si>
  <si>
    <t>Summer Salary CHASS</t>
  </si>
  <si>
    <t>Used by CNAS</t>
  </si>
  <si>
    <t>Professor of Teaching</t>
  </si>
  <si>
    <t>001687</t>
  </si>
  <si>
    <t>Associate Professor of Teaching</t>
  </si>
  <si>
    <t>Assistant Professor of Teaching</t>
  </si>
  <si>
    <t>001688</t>
  </si>
  <si>
    <t>001696</t>
  </si>
  <si>
    <t>001686</t>
  </si>
  <si>
    <t>001692</t>
  </si>
  <si>
    <t>001695</t>
  </si>
  <si>
    <t xml:space="preserve">Employee ID: </t>
  </si>
  <si>
    <t>I currently have a  merit or promotion pending effective July 1, 2024:</t>
  </si>
  <si>
    <r>
      <t xml:space="preserve">Please complete all applicable </t>
    </r>
    <r>
      <rPr>
        <b/>
        <sz val="11"/>
        <color theme="1"/>
        <rFont val="Calibri"/>
        <family val="2"/>
        <scheme val="minor"/>
      </rPr>
      <t>green</t>
    </r>
    <r>
      <rPr>
        <sz val="11"/>
        <color theme="1"/>
        <rFont val="Calibri"/>
        <family val="2"/>
        <scheme val="minor"/>
      </rPr>
      <t xml:space="preserve"> fields</t>
    </r>
  </si>
  <si>
    <r>
      <t xml:space="preserve">Please complete all applicable </t>
    </r>
    <r>
      <rPr>
        <b/>
        <sz val="11"/>
        <color theme="1"/>
        <rFont val="Calibri"/>
        <family val="2"/>
        <scheme val="minor"/>
      </rPr>
      <t>orange</t>
    </r>
    <r>
      <rPr>
        <sz val="11"/>
        <color theme="1"/>
        <rFont val="Calibri"/>
        <family val="2"/>
        <scheme val="minor"/>
      </rPr>
      <t xml:space="preserve"> fields</t>
    </r>
  </si>
  <si>
    <r>
      <t xml:space="preserve">Please complete all applicable </t>
    </r>
    <r>
      <rPr>
        <b/>
        <sz val="11"/>
        <color theme="1"/>
        <rFont val="Calibri"/>
        <family val="2"/>
        <scheme val="minor"/>
      </rPr>
      <t>pink</t>
    </r>
    <r>
      <rPr>
        <sz val="11"/>
        <color theme="1"/>
        <rFont val="Calibri"/>
        <family val="2"/>
        <scheme val="minor"/>
      </rPr>
      <t xml:space="preserve"> fields</t>
    </r>
  </si>
  <si>
    <t>HARVEST Shared Services Center - CNAS</t>
  </si>
  <si>
    <t>If "Yes":</t>
  </si>
  <si>
    <t>Summer Session Amount:</t>
  </si>
  <si>
    <t>Employee ID:</t>
  </si>
  <si>
    <t>(FAO Approval)</t>
  </si>
  <si>
    <t>Approved by:</t>
  </si>
  <si>
    <r>
      <rPr>
        <b/>
        <sz val="11"/>
        <color theme="1"/>
        <rFont val="Calibri"/>
        <family val="2"/>
        <scheme val="minor"/>
      </rPr>
      <t>Acknowledgement</t>
    </r>
    <r>
      <rPr>
        <sz val="11"/>
        <color theme="1"/>
        <rFont val="Calibri"/>
        <family val="2"/>
        <scheme val="minor"/>
      </rPr>
      <t>:  I understand that any percentage of time charged to a sponsored project requires me to be exclusively engaged in the research project for the same percentage of time.</t>
    </r>
  </si>
  <si>
    <r>
      <rPr>
        <b/>
        <sz val="11"/>
        <color theme="1"/>
        <rFont val="Calibri"/>
        <family val="2"/>
        <scheme val="minor"/>
      </rPr>
      <t>Acknowledgement:</t>
    </r>
    <r>
      <rPr>
        <sz val="11"/>
        <color theme="1"/>
        <rFont val="Calibri"/>
        <family val="2"/>
        <scheme val="minor"/>
      </rPr>
      <t xml:space="preserve">  I understand that any percentage of time charged to a sponsored project requires me to be exclusively engaged in the research project for the same percentage of time.</t>
    </r>
  </si>
  <si>
    <t xml:space="preserve">Approved by: </t>
  </si>
  <si>
    <t>Divisional Dean</t>
  </si>
  <si>
    <t>Deapartment FAO</t>
  </si>
  <si>
    <t>Used by CHASS</t>
  </si>
  <si>
    <t>-</t>
  </si>
  <si>
    <t>PI</t>
  </si>
  <si>
    <t>Department Analyst</t>
  </si>
  <si>
    <t>APSU (via Kuali Build)</t>
  </si>
  <si>
    <t>HARVEST (via Kuali Build)</t>
  </si>
  <si>
    <t>PATH</t>
  </si>
  <si>
    <t>Department FAO</t>
  </si>
  <si>
    <t>Routing/Approvals</t>
  </si>
  <si>
    <t>Check Date</t>
  </si>
  <si>
    <r>
      <rPr>
        <b/>
        <sz val="11"/>
        <color theme="1"/>
        <rFont val="Calibri"/>
        <family val="2"/>
        <scheme val="minor"/>
      </rPr>
      <t>Submission Deadlines:</t>
    </r>
    <r>
      <rPr>
        <sz val="11"/>
        <color theme="1"/>
        <rFont val="Calibri"/>
        <family val="2"/>
        <scheme val="minor"/>
      </rPr>
      <t xml:space="preserve"> assuming form is correct and does not need to be returned for revisions</t>
    </r>
  </si>
  <si>
    <t>Kuali Upload</t>
  </si>
  <si>
    <t>APSU Review</t>
  </si>
  <si>
    <t>HARVEST Entry Deadline</t>
  </si>
  <si>
    <t>Summer Salary / Additional Comp Worksheet</t>
  </si>
  <si>
    <t xml:space="preserve">Please be aware that we cannot always garuntee payment for a specific check cycle. </t>
  </si>
  <si>
    <t>The below deadlines provide a guide to the lead time needed for review, approvals and processing into PATH.</t>
  </si>
  <si>
    <t>Total 9ths (includes summer session)</t>
  </si>
  <si>
    <t>FTE 9th Conversion:</t>
  </si>
  <si>
    <r>
      <t xml:space="preserve">Please complete all applicable </t>
    </r>
    <r>
      <rPr>
        <b/>
        <sz val="11"/>
        <color theme="1"/>
        <rFont val="Calibri"/>
        <family val="2"/>
        <scheme val="minor"/>
      </rPr>
      <t>blue</t>
    </r>
    <r>
      <rPr>
        <sz val="11"/>
        <color theme="1"/>
        <rFont val="Calibri"/>
        <family val="2"/>
        <scheme val="minor"/>
      </rPr>
      <t xml:space="preserve"> fields</t>
    </r>
  </si>
  <si>
    <t>Estimated Benefits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</si>
</sst>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0000_);_(* \(#,##0.0000\);_(* &quot;-&quot;??_);_(@_)"/>
    <numFmt numFmtId="165" formatCode="_(* #,##0_);_(* \(#,##0\);_(* &quot;-&quot;??_);_(@_)"/>
    <numFmt numFmtId="166" formatCode="[$-409]mmmm\ d\,\ yyyy;@"/>
  </numFmts>
  <fonts count="3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name val="Calibri"/>
      <family val="2"/>
      <scheme val="minor"/>
    </font>
    <font>
      <sz val="11"/>
      <color rgb="FF7030A0"/>
      <name val="Calibri"/>
      <family val="2"/>
      <scheme val="minor"/>
    </font>
    <font>
      <b/>
      <sz val="11"/>
      <color rgb="FF7030A0"/>
      <name val="Calibri"/>
      <family val="2"/>
      <scheme val="minor"/>
    </font>
    <font>
      <b/>
      <vertAlign val="superscript"/>
      <sz val="11"/>
      <color theme="1"/>
      <name val="Calibri"/>
      <family val="2"/>
      <scheme val="minor"/>
    </font>
    <font>
      <i/>
      <sz val="11"/>
      <color theme="1"/>
      <name val="Calibri"/>
      <family val="2"/>
      <scheme val="minor"/>
    </font>
    <font>
      <u/>
      <sz val="11"/>
      <color theme="10"/>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u/>
      <sz val="11"/>
      <color theme="1"/>
      <name val="Calibri"/>
      <family val="2"/>
      <scheme val="minor"/>
    </font>
    <font>
      <vertAlign val="superscript"/>
      <sz val="8"/>
      <color theme="1"/>
      <name val="Calibri"/>
      <family val="2"/>
      <scheme val="minor"/>
    </font>
    <font>
      <i/>
      <sz val="9"/>
      <color theme="1"/>
      <name val="Calibri"/>
      <family val="2"/>
      <scheme val="minor"/>
    </font>
    <font>
      <b/>
      <sz val="11"/>
      <color rgb="FFFF0000"/>
      <name val="Calibri"/>
      <family val="2"/>
      <scheme val="minor"/>
    </font>
    <font>
      <b/>
      <sz val="12"/>
      <color rgb="FFFF0000"/>
      <name val="Calibri"/>
      <family val="2"/>
      <scheme val="minor"/>
    </font>
    <font>
      <b/>
      <i/>
      <sz val="11"/>
      <color theme="1"/>
      <name val="Calibri"/>
      <family val="2"/>
      <scheme val="minor"/>
    </font>
    <font>
      <sz val="11"/>
      <color theme="0" tint="-4.9989318521683403E-2"/>
      <name val="Calibri"/>
      <family val="2"/>
      <scheme val="minor"/>
    </font>
    <font>
      <b/>
      <sz val="16"/>
      <color theme="1"/>
      <name val="Calibri"/>
      <family val="2"/>
      <scheme val="minor"/>
    </font>
    <font>
      <sz val="8"/>
      <color rgb="FF00B050"/>
      <name val="Calibri"/>
      <family val="2"/>
      <scheme val="minor"/>
    </font>
    <font>
      <sz val="9"/>
      <color rgb="FFFF0000"/>
      <name val="Calibri"/>
      <family val="2"/>
      <scheme val="minor"/>
    </font>
    <font>
      <sz val="8"/>
      <name val="Calibri"/>
      <family val="2"/>
      <scheme val="minor"/>
    </font>
    <font>
      <sz val="11"/>
      <color rgb="FF000000"/>
      <name val="Calibri"/>
      <family val="2"/>
      <scheme val="minor"/>
    </font>
    <font>
      <sz val="8"/>
      <color theme="9" tint="-0.249977111117893"/>
      <name val="Calibri"/>
      <family val="2"/>
      <scheme val="minor"/>
    </font>
    <font>
      <b/>
      <sz val="14"/>
      <color theme="1"/>
      <name val="Calibri"/>
      <family val="2"/>
      <scheme val="minor"/>
    </font>
    <font>
      <sz val="11"/>
      <color theme="0" tint="-0.34998626667073579"/>
      <name val="Calibri"/>
      <family val="2"/>
      <scheme val="minor"/>
    </font>
    <font>
      <b/>
      <sz val="8"/>
      <color rgb="FFFF0000"/>
      <name val="Calibri"/>
      <family val="2"/>
      <scheme val="minor"/>
    </font>
    <font>
      <b/>
      <sz val="12"/>
      <color theme="1"/>
      <name val="Calibri"/>
      <family val="2"/>
      <scheme val="minor"/>
    </font>
    <font>
      <b/>
      <sz val="10"/>
      <color theme="9"/>
      <name val="Calibri"/>
      <family val="2"/>
      <scheme val="minor"/>
    </font>
    <font>
      <sz val="11"/>
      <color theme="0"/>
      <name val="Calibri"/>
      <family val="2"/>
      <scheme val="minor"/>
    </font>
    <font>
      <sz val="8"/>
      <color theme="0" tint="-0.34998626667073579"/>
      <name val="Calibri"/>
      <family val="2"/>
      <scheme val="minor"/>
    </font>
    <font>
      <b/>
      <sz val="11"/>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CECFF"/>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4"/>
        <bgColor indexed="64"/>
      </patternFill>
    </fill>
    <fill>
      <patternFill patternType="solid">
        <fgColor theme="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CC99FF"/>
        <bgColor indexed="64"/>
      </patternFill>
    </fill>
    <fill>
      <patternFill patternType="solid">
        <fgColor theme="4" tint="0.59999389629810485"/>
        <bgColor indexed="64"/>
      </patternFill>
    </fill>
  </fills>
  <borders count="3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auto="1"/>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top/>
      <bottom style="hair">
        <color auto="1"/>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indexed="64"/>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tint="-0.34998626667073579"/>
      </right>
      <top style="thin">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0" fontId="10" fillId="0" borderId="0" applyNumberFormat="0" applyFill="0" applyBorder="0" applyAlignment="0" applyProtection="0"/>
  </cellStyleXfs>
  <cellXfs count="350">
    <xf numFmtId="0" fontId="0" fillId="0" borderId="0" xfId="0"/>
    <xf numFmtId="0" fontId="0" fillId="0" borderId="0" xfId="0" applyAlignment="1">
      <alignment wrapText="1"/>
    </xf>
    <xf numFmtId="0" fontId="3" fillId="0" borderId="0" xfId="0" applyFont="1"/>
    <xf numFmtId="44" fontId="0" fillId="0" borderId="0" xfId="2" applyFont="1"/>
    <xf numFmtId="0" fontId="0" fillId="0" borderId="0" xfId="0" applyAlignment="1">
      <alignment horizontal="right"/>
    </xf>
    <xf numFmtId="44" fontId="0" fillId="0" borderId="1" xfId="2" applyFont="1" applyBorder="1"/>
    <xf numFmtId="0" fontId="0" fillId="3" borderId="0" xfId="0" applyFill="1"/>
    <xf numFmtId="0" fontId="0" fillId="0" borderId="7" xfId="0" applyBorder="1"/>
    <xf numFmtId="0" fontId="0" fillId="0" borderId="8" xfId="0" applyBorder="1"/>
    <xf numFmtId="0" fontId="0" fillId="0" borderId="9" xfId="0" applyBorder="1"/>
    <xf numFmtId="0" fontId="0" fillId="0" borderId="1" xfId="0" applyBorder="1"/>
    <xf numFmtId="0" fontId="0" fillId="0" borderId="10" xfId="0" applyBorder="1"/>
    <xf numFmtId="0" fontId="3" fillId="0" borderId="11" xfId="0" applyFont="1" applyBorder="1" applyAlignment="1">
      <alignment wrapText="1"/>
    </xf>
    <xf numFmtId="0" fontId="3" fillId="0" borderId="2" xfId="0" applyFont="1" applyBorder="1" applyAlignment="1">
      <alignment wrapText="1"/>
    </xf>
    <xf numFmtId="0" fontId="3" fillId="0" borderId="12" xfId="0" applyFont="1" applyBorder="1" applyAlignment="1">
      <alignment wrapText="1"/>
    </xf>
    <xf numFmtId="43" fontId="0" fillId="0" borderId="0" xfId="1" applyFont="1" applyBorder="1"/>
    <xf numFmtId="43" fontId="0" fillId="0" borderId="1" xfId="1" applyFont="1" applyBorder="1"/>
    <xf numFmtId="44" fontId="0" fillId="0" borderId="0" xfId="2" applyFont="1" applyBorder="1"/>
    <xf numFmtId="0" fontId="9" fillId="0" borderId="0" xfId="0" applyFont="1"/>
    <xf numFmtId="43" fontId="0" fillId="0" borderId="0" xfId="1" applyFont="1"/>
    <xf numFmtId="0" fontId="10" fillId="0" borderId="0" xfId="3"/>
    <xf numFmtId="0" fontId="0" fillId="0" borderId="0" xfId="0" applyAlignment="1">
      <alignment horizontal="center"/>
    </xf>
    <xf numFmtId="0" fontId="12" fillId="0" borderId="0" xfId="0" applyFont="1"/>
    <xf numFmtId="0" fontId="13" fillId="0" borderId="0" xfId="0" applyFont="1"/>
    <xf numFmtId="0" fontId="11" fillId="0" borderId="0" xfId="0" applyFont="1" applyAlignment="1">
      <alignment horizontal="right"/>
    </xf>
    <xf numFmtId="44" fontId="0" fillId="0" borderId="0" xfId="0" applyNumberFormat="1"/>
    <xf numFmtId="0" fontId="11" fillId="0" borderId="0" xfId="0" applyFont="1" applyAlignment="1">
      <alignment horizontal="left"/>
    </xf>
    <xf numFmtId="0" fontId="3" fillId="0" borderId="0" xfId="0" applyFont="1" applyAlignment="1">
      <alignment horizontal="right"/>
    </xf>
    <xf numFmtId="49" fontId="0" fillId="0" borderId="0" xfId="0" applyNumberFormat="1"/>
    <xf numFmtId="0" fontId="16" fillId="0" borderId="0" xfId="0" applyFont="1"/>
    <xf numFmtId="0" fontId="0" fillId="0" borderId="13" xfId="0" applyBorder="1"/>
    <xf numFmtId="0" fontId="3" fillId="5" borderId="3" xfId="0" applyFont="1" applyFill="1" applyBorder="1" applyAlignment="1">
      <alignment horizontal="center" wrapText="1"/>
    </xf>
    <xf numFmtId="44" fontId="0" fillId="3" borderId="1" xfId="2" applyFont="1" applyFill="1" applyBorder="1"/>
    <xf numFmtId="43" fontId="0" fillId="3" borderId="0" xfId="1" applyFont="1" applyFill="1"/>
    <xf numFmtId="43" fontId="0" fillId="3" borderId="1" xfId="1" applyFont="1" applyFill="1" applyBorder="1"/>
    <xf numFmtId="0" fontId="18" fillId="0" borderId="0" xfId="0" applyFont="1"/>
    <xf numFmtId="43" fontId="0" fillId="0" borderId="0" xfId="1" applyFont="1" applyFill="1" applyBorder="1"/>
    <xf numFmtId="0" fontId="0" fillId="0" borderId="0" xfId="0" applyAlignment="1">
      <alignment vertical="top"/>
    </xf>
    <xf numFmtId="43" fontId="0" fillId="0" borderId="0" xfId="0" applyNumberFormat="1"/>
    <xf numFmtId="0" fontId="17" fillId="0" borderId="0" xfId="0" applyFont="1"/>
    <xf numFmtId="0" fontId="17" fillId="0" borderId="8" xfId="0" applyFont="1" applyBorder="1"/>
    <xf numFmtId="0" fontId="17" fillId="0" borderId="10" xfId="0" applyFont="1" applyBorder="1"/>
    <xf numFmtId="44" fontId="0" fillId="3" borderId="15" xfId="2" applyFont="1" applyFill="1" applyBorder="1"/>
    <xf numFmtId="44" fontId="0" fillId="3" borderId="18" xfId="2" applyFont="1" applyFill="1" applyBorder="1"/>
    <xf numFmtId="44" fontId="0" fillId="3" borderId="21" xfId="2" applyFont="1" applyFill="1" applyBorder="1"/>
    <xf numFmtId="44" fontId="0" fillId="3" borderId="14" xfId="2" applyFont="1" applyFill="1" applyBorder="1"/>
    <xf numFmtId="0" fontId="0" fillId="3" borderId="15" xfId="0" applyFill="1" applyBorder="1"/>
    <xf numFmtId="44" fontId="0" fillId="3" borderId="15" xfId="0" applyNumberFormat="1" applyFill="1" applyBorder="1"/>
    <xf numFmtId="44" fontId="0" fillId="3" borderId="17" xfId="2" applyFont="1" applyFill="1" applyBorder="1"/>
    <xf numFmtId="0" fontId="0" fillId="3" borderId="18" xfId="0" applyFill="1" applyBorder="1"/>
    <xf numFmtId="44" fontId="0" fillId="3" borderId="18" xfId="0" applyNumberFormat="1" applyFill="1" applyBorder="1"/>
    <xf numFmtId="44" fontId="0" fillId="3" borderId="20" xfId="2" applyFont="1" applyFill="1" applyBorder="1"/>
    <xf numFmtId="0" fontId="0" fillId="3" borderId="21" xfId="0" applyFill="1" applyBorder="1"/>
    <xf numFmtId="44" fontId="0" fillId="3" borderId="21" xfId="0" applyNumberFormat="1" applyFill="1" applyBorder="1"/>
    <xf numFmtId="0" fontId="0" fillId="0" borderId="0" xfId="0" applyAlignment="1">
      <alignment horizontal="left"/>
    </xf>
    <xf numFmtId="43" fontId="0" fillId="3" borderId="0" xfId="0" applyNumberFormat="1" applyFill="1"/>
    <xf numFmtId="43" fontId="0" fillId="3" borderId="1" xfId="0" applyNumberFormat="1" applyFill="1" applyBorder="1"/>
    <xf numFmtId="0" fontId="3" fillId="0" borderId="8" xfId="0" applyFont="1" applyBorder="1"/>
    <xf numFmtId="0" fontId="6" fillId="0" borderId="8" xfId="0" applyFont="1" applyBorder="1"/>
    <xf numFmtId="0" fontId="2" fillId="0" borderId="1" xfId="0" applyFont="1" applyBorder="1"/>
    <xf numFmtId="0" fontId="17" fillId="0" borderId="1" xfId="0" applyFont="1" applyBorder="1"/>
    <xf numFmtId="0" fontId="0" fillId="0" borderId="0" xfId="0" applyAlignment="1">
      <alignment horizontal="left" vertical="top"/>
    </xf>
    <xf numFmtId="0" fontId="16" fillId="0" borderId="0" xfId="0" applyFont="1" applyAlignment="1">
      <alignment horizontal="center"/>
    </xf>
    <xf numFmtId="0" fontId="0" fillId="5" borderId="3" xfId="0" applyFill="1" applyBorder="1"/>
    <xf numFmtId="0" fontId="0" fillId="3" borderId="3" xfId="0" applyFill="1" applyBorder="1"/>
    <xf numFmtId="43" fontId="0" fillId="3" borderId="3" xfId="1" applyFont="1" applyFill="1" applyBorder="1"/>
    <xf numFmtId="0" fontId="0" fillId="5" borderId="3" xfId="0" applyFill="1" applyBorder="1" applyAlignment="1">
      <alignment horizontal="center"/>
    </xf>
    <xf numFmtId="44" fontId="0" fillId="3" borderId="3" xfId="2" applyFont="1" applyFill="1" applyBorder="1"/>
    <xf numFmtId="14" fontId="0" fillId="0" borderId="0" xfId="0" applyNumberFormat="1"/>
    <xf numFmtId="14" fontId="0" fillId="0" borderId="1" xfId="0" applyNumberFormat="1" applyBorder="1"/>
    <xf numFmtId="44" fontId="0" fillId="8" borderId="3" xfId="2" applyFont="1" applyFill="1" applyBorder="1"/>
    <xf numFmtId="43" fontId="0" fillId="8" borderId="3" xfId="1" applyFont="1" applyFill="1" applyBorder="1"/>
    <xf numFmtId="43" fontId="0" fillId="3" borderId="3" xfId="0" applyNumberFormat="1" applyFill="1" applyBorder="1"/>
    <xf numFmtId="165" fontId="0" fillId="3" borderId="3" xfId="1" applyNumberFormat="1" applyFont="1" applyFill="1" applyBorder="1"/>
    <xf numFmtId="0" fontId="0" fillId="5" borderId="0" xfId="0" applyFill="1"/>
    <xf numFmtId="0" fontId="3" fillId="0" borderId="0" xfId="0" applyFont="1" applyAlignment="1">
      <alignment wrapText="1"/>
    </xf>
    <xf numFmtId="0" fontId="0" fillId="0" borderId="23" xfId="0" applyBorder="1"/>
    <xf numFmtId="43" fontId="0" fillId="3" borderId="10" xfId="1" applyFont="1" applyFill="1" applyBorder="1" applyAlignment="1"/>
    <xf numFmtId="44" fontId="1" fillId="3" borderId="1" xfId="2" applyFont="1" applyFill="1" applyBorder="1"/>
    <xf numFmtId="43" fontId="0" fillId="10" borderId="0" xfId="0" applyNumberFormat="1" applyFill="1"/>
    <xf numFmtId="44" fontId="0" fillId="10" borderId="0" xfId="0" applyNumberFormat="1" applyFill="1"/>
    <xf numFmtId="0" fontId="2" fillId="3" borderId="3" xfId="0" applyFont="1" applyFill="1" applyBorder="1"/>
    <xf numFmtId="44" fontId="0" fillId="4" borderId="1" xfId="2" applyFont="1" applyFill="1" applyBorder="1" applyProtection="1">
      <protection locked="0"/>
    </xf>
    <xf numFmtId="0" fontId="0" fillId="4" borderId="1" xfId="0" applyFill="1" applyBorder="1" applyProtection="1">
      <protection locked="0"/>
    </xf>
    <xf numFmtId="0" fontId="0" fillId="4" borderId="14" xfId="0" applyFill="1" applyBorder="1" applyProtection="1">
      <protection locked="0"/>
    </xf>
    <xf numFmtId="0" fontId="0" fillId="4" borderId="15" xfId="0" applyFill="1" applyBorder="1" applyProtection="1">
      <protection locked="0"/>
    </xf>
    <xf numFmtId="164" fontId="0" fillId="4" borderId="15" xfId="1" applyNumberFormat="1" applyFont="1" applyFill="1" applyBorder="1" applyProtection="1">
      <protection locked="0"/>
    </xf>
    <xf numFmtId="14" fontId="0" fillId="4" borderId="15" xfId="0" applyNumberFormat="1" applyFill="1" applyBorder="1" applyProtection="1">
      <protection locked="0"/>
    </xf>
    <xf numFmtId="0" fontId="0" fillId="4" borderId="17" xfId="0" applyFill="1" applyBorder="1" applyProtection="1">
      <protection locked="0"/>
    </xf>
    <xf numFmtId="0" fontId="0" fillId="4" borderId="18" xfId="0" applyFill="1" applyBorder="1" applyProtection="1">
      <protection locked="0"/>
    </xf>
    <xf numFmtId="164" fontId="0" fillId="4" borderId="18" xfId="1" applyNumberFormat="1" applyFont="1" applyFill="1" applyBorder="1" applyProtection="1">
      <protection locked="0"/>
    </xf>
    <xf numFmtId="14" fontId="0" fillId="4" borderId="18" xfId="0" applyNumberFormat="1" applyFill="1" applyBorder="1" applyProtection="1">
      <protection locked="0"/>
    </xf>
    <xf numFmtId="0" fontId="0" fillId="4" borderId="20" xfId="0" applyFill="1" applyBorder="1" applyProtection="1">
      <protection locked="0"/>
    </xf>
    <xf numFmtId="0" fontId="0" fillId="4" borderId="21" xfId="0" applyFill="1" applyBorder="1" applyProtection="1">
      <protection locked="0"/>
    </xf>
    <xf numFmtId="164" fontId="0" fillId="4" borderId="21" xfId="1" applyNumberFormat="1" applyFont="1" applyFill="1" applyBorder="1" applyProtection="1">
      <protection locked="0"/>
    </xf>
    <xf numFmtId="0" fontId="0" fillId="4" borderId="16" xfId="0" applyFill="1" applyBorder="1" applyProtection="1">
      <protection locked="0"/>
    </xf>
    <xf numFmtId="0" fontId="0" fillId="4" borderId="22" xfId="0" applyFill="1" applyBorder="1" applyProtection="1">
      <protection locked="0"/>
    </xf>
    <xf numFmtId="44" fontId="0" fillId="4" borderId="10" xfId="2" applyFont="1" applyFill="1" applyBorder="1" applyAlignment="1" applyProtection="1">
      <protection locked="0"/>
    </xf>
    <xf numFmtId="0" fontId="0" fillId="9" borderId="1" xfId="0" applyFill="1" applyBorder="1" applyProtection="1">
      <protection locked="0"/>
    </xf>
    <xf numFmtId="14" fontId="0" fillId="0" borderId="3" xfId="0" applyNumberFormat="1" applyBorder="1" applyAlignment="1" applyProtection="1">
      <alignment wrapText="1"/>
      <protection locked="0"/>
    </xf>
    <xf numFmtId="0" fontId="0" fillId="7" borderId="1" xfId="0" applyFill="1" applyBorder="1" applyProtection="1">
      <protection locked="0"/>
    </xf>
    <xf numFmtId="44" fontId="0" fillId="7" borderId="1" xfId="2" applyFont="1" applyFill="1" applyBorder="1" applyProtection="1">
      <protection locked="0"/>
    </xf>
    <xf numFmtId="0" fontId="0" fillId="7" borderId="14" xfId="0" applyFill="1" applyBorder="1" applyProtection="1">
      <protection locked="0"/>
    </xf>
    <xf numFmtId="0" fontId="0" fillId="7" borderId="15" xfId="0" applyFill="1" applyBorder="1" applyProtection="1">
      <protection locked="0"/>
    </xf>
    <xf numFmtId="164" fontId="0" fillId="7" borderId="15" xfId="1" applyNumberFormat="1" applyFont="1" applyFill="1" applyBorder="1" applyProtection="1">
      <protection locked="0"/>
    </xf>
    <xf numFmtId="14" fontId="0" fillId="7" borderId="15" xfId="0" applyNumberFormat="1" applyFill="1" applyBorder="1" applyProtection="1">
      <protection locked="0"/>
    </xf>
    <xf numFmtId="0" fontId="0" fillId="7" borderId="17" xfId="0" applyFill="1" applyBorder="1" applyProtection="1">
      <protection locked="0"/>
    </xf>
    <xf numFmtId="0" fontId="0" fillId="7" borderId="18" xfId="0" applyFill="1" applyBorder="1" applyProtection="1">
      <protection locked="0"/>
    </xf>
    <xf numFmtId="164" fontId="0" fillId="7" borderId="18" xfId="1" applyNumberFormat="1" applyFont="1" applyFill="1" applyBorder="1" applyProtection="1">
      <protection locked="0"/>
    </xf>
    <xf numFmtId="14" fontId="0" fillId="7" borderId="18" xfId="0" applyNumberFormat="1" applyFill="1" applyBorder="1" applyProtection="1">
      <protection locked="0"/>
    </xf>
    <xf numFmtId="0" fontId="0" fillId="7" borderId="20" xfId="0" applyFill="1" applyBorder="1" applyProtection="1">
      <protection locked="0"/>
    </xf>
    <xf numFmtId="0" fontId="0" fillId="7" borderId="21" xfId="0" applyFill="1" applyBorder="1" applyProtection="1">
      <protection locked="0"/>
    </xf>
    <xf numFmtId="164" fontId="0" fillId="7" borderId="21" xfId="1" applyNumberFormat="1" applyFont="1" applyFill="1" applyBorder="1" applyProtection="1">
      <protection locked="0"/>
    </xf>
    <xf numFmtId="0" fontId="0" fillId="7" borderId="16" xfId="0" applyFill="1" applyBorder="1" applyProtection="1">
      <protection locked="0"/>
    </xf>
    <xf numFmtId="0" fontId="0" fillId="7" borderId="22" xfId="0" applyFill="1" applyBorder="1" applyProtection="1">
      <protection locked="0"/>
    </xf>
    <xf numFmtId="44" fontId="0" fillId="7" borderId="10" xfId="2" applyFont="1" applyFill="1" applyBorder="1" applyAlignment="1" applyProtection="1">
      <protection locked="0"/>
    </xf>
    <xf numFmtId="0" fontId="0" fillId="0" borderId="3" xfId="0" applyBorder="1" applyAlignment="1" applyProtection="1">
      <alignment wrapText="1"/>
      <protection locked="0"/>
    </xf>
    <xf numFmtId="14" fontId="0" fillId="6" borderId="1" xfId="0" applyNumberFormat="1" applyFill="1" applyBorder="1" applyProtection="1">
      <protection locked="0"/>
    </xf>
    <xf numFmtId="14" fontId="0" fillId="6" borderId="2" xfId="0" applyNumberFormat="1" applyFill="1" applyBorder="1" applyProtection="1">
      <protection locked="0"/>
    </xf>
    <xf numFmtId="0" fontId="0" fillId="6" borderId="3" xfId="0" applyFill="1" applyBorder="1" applyProtection="1">
      <protection locked="0"/>
    </xf>
    <xf numFmtId="43" fontId="0" fillId="6" borderId="3" xfId="1" applyFont="1" applyFill="1" applyBorder="1" applyProtection="1">
      <protection locked="0"/>
    </xf>
    <xf numFmtId="0" fontId="5" fillId="6" borderId="1" xfId="0" applyFont="1" applyFill="1" applyBorder="1" applyProtection="1">
      <protection locked="0"/>
    </xf>
    <xf numFmtId="0" fontId="0" fillId="0" borderId="0" xfId="0" applyProtection="1">
      <protection locked="0"/>
    </xf>
    <xf numFmtId="44" fontId="0" fillId="6" borderId="3" xfId="2" applyFont="1" applyFill="1" applyBorder="1" applyProtection="1">
      <protection locked="0"/>
    </xf>
    <xf numFmtId="43" fontId="0" fillId="6" borderId="3" xfId="1" applyFont="1" applyFill="1" applyBorder="1" applyAlignment="1" applyProtection="1">
      <alignment horizontal="center"/>
      <protection locked="0"/>
    </xf>
    <xf numFmtId="0" fontId="20" fillId="0" borderId="0" xfId="0" applyFont="1" applyProtection="1">
      <protection locked="0"/>
    </xf>
    <xf numFmtId="0" fontId="0" fillId="11" borderId="0" xfId="0" applyFill="1"/>
    <xf numFmtId="0" fontId="22" fillId="0" borderId="0" xfId="0" applyFont="1" applyAlignment="1">
      <alignment vertical="top"/>
    </xf>
    <xf numFmtId="0" fontId="0" fillId="0" borderId="0" xfId="0" applyAlignment="1">
      <alignment horizontal="left" vertical="top" wrapText="1"/>
    </xf>
    <xf numFmtId="0" fontId="13" fillId="0" borderId="0" xfId="0" applyFont="1" applyAlignment="1">
      <alignment horizontal="left" vertical="top" wrapText="1"/>
    </xf>
    <xf numFmtId="0" fontId="23" fillId="0" borderId="0" xfId="0" applyFont="1"/>
    <xf numFmtId="0" fontId="6" fillId="0" borderId="0" xfId="0" applyFont="1"/>
    <xf numFmtId="0" fontId="0" fillId="12" borderId="0" xfId="0" applyFill="1"/>
    <xf numFmtId="0" fontId="6" fillId="12" borderId="0" xfId="0" applyFont="1" applyFill="1"/>
    <xf numFmtId="0" fontId="24" fillId="12" borderId="1" xfId="0" applyFont="1" applyFill="1" applyBorder="1"/>
    <xf numFmtId="43" fontId="0" fillId="12" borderId="1" xfId="1" applyFont="1" applyFill="1" applyBorder="1"/>
    <xf numFmtId="0" fontId="3" fillId="0" borderId="0" xfId="0" applyFont="1" applyAlignment="1">
      <alignment horizontal="right" wrapText="1"/>
    </xf>
    <xf numFmtId="0" fontId="0" fillId="0" borderId="7" xfId="0" applyBorder="1" applyAlignment="1">
      <alignment wrapText="1"/>
    </xf>
    <xf numFmtId="44" fontId="0" fillId="0" borderId="0" xfId="0" applyNumberFormat="1" applyAlignment="1">
      <alignment wrapText="1"/>
    </xf>
    <xf numFmtId="0" fontId="0" fillId="0" borderId="8" xfId="0" applyBorder="1" applyAlignment="1">
      <alignment wrapText="1"/>
    </xf>
    <xf numFmtId="0" fontId="3" fillId="0" borderId="8" xfId="0" applyFont="1" applyBorder="1" applyAlignment="1">
      <alignment wrapText="1"/>
    </xf>
    <xf numFmtId="0" fontId="0" fillId="8" borderId="7" xfId="0" applyFill="1" applyBorder="1" applyAlignment="1">
      <alignment horizontal="center" wrapText="1"/>
    </xf>
    <xf numFmtId="43" fontId="0" fillId="8" borderId="7" xfId="0" applyNumberFormat="1" applyFill="1" applyBorder="1" applyAlignment="1">
      <alignment horizontal="left"/>
    </xf>
    <xf numFmtId="0" fontId="12" fillId="0" borderId="9" xfId="0" applyFont="1" applyBorder="1"/>
    <xf numFmtId="0" fontId="19" fillId="4" borderId="4" xfId="0" applyFont="1" applyFill="1" applyBorder="1"/>
    <xf numFmtId="0" fontId="0" fillId="4" borderId="5" xfId="0" applyFill="1" applyBorder="1"/>
    <xf numFmtId="0" fontId="0" fillId="4" borderId="6" xfId="0" applyFill="1" applyBorder="1"/>
    <xf numFmtId="0" fontId="19" fillId="7" borderId="4" xfId="0" applyFont="1" applyFill="1" applyBorder="1"/>
    <xf numFmtId="0" fontId="0" fillId="7" borderId="5" xfId="0" applyFill="1" applyBorder="1"/>
    <xf numFmtId="0" fontId="0" fillId="7" borderId="6" xfId="0" applyFill="1" applyBorder="1"/>
    <xf numFmtId="0" fontId="0" fillId="4" borderId="24" xfId="0" applyFill="1" applyBorder="1" applyProtection="1">
      <protection locked="0"/>
    </xf>
    <xf numFmtId="0" fontId="0" fillId="4" borderId="25" xfId="0" applyFill="1" applyBorder="1" applyProtection="1">
      <protection locked="0"/>
    </xf>
    <xf numFmtId="44" fontId="0" fillId="3" borderId="26" xfId="2" applyFont="1" applyFill="1" applyBorder="1"/>
    <xf numFmtId="0" fontId="19" fillId="13" borderId="4" xfId="0" applyFont="1" applyFill="1" applyBorder="1"/>
    <xf numFmtId="0" fontId="0" fillId="13" borderId="5" xfId="0" applyFill="1" applyBorder="1"/>
    <xf numFmtId="0" fontId="0" fillId="13" borderId="6" xfId="0" applyFill="1" applyBorder="1"/>
    <xf numFmtId="43" fontId="5" fillId="3" borderId="3" xfId="1" applyFont="1" applyFill="1" applyBorder="1"/>
    <xf numFmtId="0" fontId="0" fillId="10" borderId="0" xfId="0" applyFill="1"/>
    <xf numFmtId="0" fontId="3" fillId="10" borderId="0" xfId="0" applyFont="1" applyFill="1"/>
    <xf numFmtId="0" fontId="7" fillId="10" borderId="0" xfId="0" applyFont="1" applyFill="1"/>
    <xf numFmtId="0" fontId="3" fillId="0" borderId="0" xfId="0" applyFont="1" applyAlignment="1">
      <alignment horizontal="right" vertical="top"/>
    </xf>
    <xf numFmtId="0" fontId="0" fillId="6" borderId="1" xfId="0" applyFill="1" applyBorder="1" applyProtection="1">
      <protection locked="0"/>
    </xf>
    <xf numFmtId="0" fontId="0" fillId="0" borderId="0" xfId="0" applyAlignment="1" applyProtection="1">
      <alignment vertical="top" wrapText="1"/>
      <protection locked="0"/>
    </xf>
    <xf numFmtId="0" fontId="9" fillId="10" borderId="0" xfId="0" applyFont="1" applyFill="1"/>
    <xf numFmtId="0" fontId="3" fillId="10" borderId="5" xfId="0" applyFont="1" applyFill="1" applyBorder="1"/>
    <xf numFmtId="0" fontId="0" fillId="10" borderId="5" xfId="0" applyFill="1" applyBorder="1"/>
    <xf numFmtId="0" fontId="0" fillId="0" borderId="0" xfId="0" applyAlignment="1" applyProtection="1">
      <alignment horizontal="center"/>
      <protection locked="0"/>
    </xf>
    <xf numFmtId="14" fontId="0" fillId="0" borderId="0" xfId="0" applyNumberFormat="1" applyAlignment="1" applyProtection="1">
      <alignment horizontal="center"/>
      <protection locked="0"/>
    </xf>
    <xf numFmtId="44" fontId="0" fillId="0" borderId="0" xfId="2" applyFont="1" applyFill="1" applyBorder="1" applyAlignment="1" applyProtection="1">
      <protection locked="0"/>
    </xf>
    <xf numFmtId="43" fontId="0" fillId="0" borderId="0" xfId="1" applyFont="1" applyFill="1" applyBorder="1" applyAlignment="1"/>
    <xf numFmtId="0" fontId="9" fillId="10" borderId="5" xfId="0" applyFont="1" applyFill="1" applyBorder="1"/>
    <xf numFmtId="14" fontId="0" fillId="0" borderId="3" xfId="0" applyNumberFormat="1" applyBorder="1" applyAlignment="1" applyProtection="1">
      <alignment horizontal="left" vertical="top" wrapText="1"/>
      <protection locked="0"/>
    </xf>
    <xf numFmtId="0" fontId="3" fillId="8" borderId="3" xfId="0" applyFont="1" applyFill="1" applyBorder="1" applyAlignment="1">
      <alignment horizontal="center"/>
    </xf>
    <xf numFmtId="0" fontId="3" fillId="8" borderId="3" xfId="0" applyFont="1" applyFill="1" applyBorder="1" applyAlignment="1">
      <alignment horizontal="center" wrapText="1"/>
    </xf>
    <xf numFmtId="0" fontId="3" fillId="14" borderId="3" xfId="0" applyFont="1" applyFill="1" applyBorder="1" applyAlignment="1">
      <alignment horizontal="center" wrapText="1"/>
    </xf>
    <xf numFmtId="0" fontId="3" fillId="0" borderId="12" xfId="0" applyFont="1" applyBorder="1" applyAlignment="1">
      <alignment horizontal="center" wrapText="1"/>
    </xf>
    <xf numFmtId="165" fontId="0" fillId="3" borderId="2" xfId="0" applyNumberFormat="1" applyFill="1" applyBorder="1"/>
    <xf numFmtId="0" fontId="17" fillId="0" borderId="0" xfId="0" applyFont="1" applyAlignment="1">
      <alignment vertical="top"/>
    </xf>
    <xf numFmtId="49" fontId="0" fillId="0" borderId="0" xfId="0" applyNumberFormat="1" applyAlignment="1">
      <alignment horizontal="right" vertical="top"/>
    </xf>
    <xf numFmtId="0" fontId="25" fillId="0" borderId="0" xfId="0" applyFont="1"/>
    <xf numFmtId="0" fontId="26" fillId="0" borderId="0" xfId="0" applyFont="1"/>
    <xf numFmtId="43" fontId="0" fillId="0" borderId="0" xfId="1" applyFont="1" applyFill="1" applyBorder="1" applyProtection="1"/>
    <xf numFmtId="43" fontId="0" fillId="0" borderId="0" xfId="1" applyFont="1" applyFill="1"/>
    <xf numFmtId="0" fontId="28" fillId="0" borderId="0" xfId="0" applyFont="1" applyAlignment="1">
      <alignment vertical="top"/>
    </xf>
    <xf numFmtId="0" fontId="0" fillId="0" borderId="0" xfId="0" applyAlignment="1" applyProtection="1">
      <alignment horizontal="left"/>
      <protection locked="0"/>
    </xf>
    <xf numFmtId="43" fontId="29" fillId="0" borderId="0" xfId="1" applyFont="1" applyFill="1" applyBorder="1"/>
    <xf numFmtId="0" fontId="0" fillId="0" borderId="0" xfId="0" applyAlignment="1" applyProtection="1">
      <alignment horizontal="right"/>
      <protection locked="0"/>
    </xf>
    <xf numFmtId="14" fontId="0" fillId="9" borderId="1" xfId="0" applyNumberFormat="1" applyFill="1" applyBorder="1" applyAlignment="1" applyProtection="1">
      <alignment horizontal="left"/>
      <protection locked="0"/>
    </xf>
    <xf numFmtId="43" fontId="0" fillId="3" borderId="3" xfId="1" applyFont="1" applyFill="1" applyBorder="1" applyAlignment="1" applyProtection="1"/>
    <xf numFmtId="1" fontId="0" fillId="9" borderId="1" xfId="0" applyNumberFormat="1" applyFill="1" applyBorder="1" applyProtection="1">
      <protection locked="0"/>
    </xf>
    <xf numFmtId="0" fontId="30" fillId="0" borderId="0" xfId="0" applyFont="1"/>
    <xf numFmtId="44" fontId="0" fillId="0" borderId="0" xfId="2" applyFont="1" applyFill="1" applyBorder="1"/>
    <xf numFmtId="44" fontId="0" fillId="6" borderId="1" xfId="2" applyFont="1" applyFill="1" applyBorder="1" applyProtection="1">
      <protection locked="0"/>
    </xf>
    <xf numFmtId="0" fontId="31" fillId="0" borderId="0" xfId="0" applyFont="1"/>
    <xf numFmtId="0" fontId="0" fillId="2" borderId="0" xfId="0" applyFill="1"/>
    <xf numFmtId="0" fontId="0" fillId="6" borderId="2" xfId="0" applyFill="1" applyBorder="1" applyProtection="1">
      <protection locked="0"/>
    </xf>
    <xf numFmtId="0" fontId="32" fillId="16" borderId="0" xfId="0" applyFont="1" applyFill="1"/>
    <xf numFmtId="0" fontId="32" fillId="15" borderId="0" xfId="0" applyFont="1" applyFill="1"/>
    <xf numFmtId="0" fontId="33" fillId="0" borderId="0" xfId="0" applyFont="1"/>
    <xf numFmtId="0" fontId="33" fillId="0" borderId="0" xfId="0" applyFont="1" applyAlignment="1">
      <alignment horizontal="right"/>
    </xf>
    <xf numFmtId="0" fontId="28" fillId="0" borderId="0" xfId="0" applyFont="1"/>
    <xf numFmtId="14" fontId="33" fillId="0" borderId="0" xfId="0" applyNumberFormat="1" applyFont="1"/>
    <xf numFmtId="0" fontId="0" fillId="17" borderId="0" xfId="0" applyFill="1"/>
    <xf numFmtId="0" fontId="5" fillId="0" borderId="27" xfId="0" applyFont="1" applyBorder="1" applyAlignment="1">
      <alignment vertical="top"/>
    </xf>
    <xf numFmtId="0" fontId="5" fillId="0" borderId="28" xfId="0" applyFont="1" applyBorder="1" applyAlignment="1">
      <alignment vertical="top"/>
    </xf>
    <xf numFmtId="43" fontId="0" fillId="10" borderId="0" xfId="0" applyNumberFormat="1" applyFill="1" applyAlignment="1">
      <alignment horizontal="left"/>
    </xf>
    <xf numFmtId="0" fontId="3" fillId="0" borderId="3" xfId="0" applyFont="1" applyBorder="1" applyAlignment="1">
      <alignment wrapText="1"/>
    </xf>
    <xf numFmtId="0" fontId="0" fillId="18" borderId="0" xfId="0" applyFill="1"/>
    <xf numFmtId="49" fontId="0" fillId="5" borderId="0" xfId="0" applyNumberFormat="1" applyFill="1"/>
    <xf numFmtId="0" fontId="5" fillId="0" borderId="0" xfId="0" applyFont="1"/>
    <xf numFmtId="0" fontId="0" fillId="19" borderId="0" xfId="0" applyFill="1"/>
    <xf numFmtId="0" fontId="0" fillId="7" borderId="24" xfId="0" applyFill="1" applyBorder="1" applyProtection="1">
      <protection locked="0"/>
    </xf>
    <xf numFmtId="0" fontId="0" fillId="7" borderId="25" xfId="0" applyFill="1" applyBorder="1" applyProtection="1">
      <protection locked="0"/>
    </xf>
    <xf numFmtId="0" fontId="19" fillId="18" borderId="4" xfId="0" applyFont="1" applyFill="1" applyBorder="1"/>
    <xf numFmtId="0" fontId="0" fillId="18" borderId="5" xfId="0" applyFill="1" applyBorder="1"/>
    <xf numFmtId="0" fontId="0" fillId="18" borderId="6" xfId="0" applyFill="1" applyBorder="1"/>
    <xf numFmtId="164" fontId="0" fillId="3" borderId="1" xfId="1" applyNumberFormat="1" applyFont="1" applyFill="1" applyBorder="1"/>
    <xf numFmtId="0" fontId="16" fillId="0" borderId="13" xfId="0" applyFont="1" applyBorder="1"/>
    <xf numFmtId="0" fontId="0" fillId="3" borderId="1" xfId="0" applyFill="1" applyBorder="1"/>
    <xf numFmtId="0" fontId="3" fillId="0" borderId="0" xfId="0" applyFont="1" applyAlignment="1">
      <alignment horizontal="center"/>
    </xf>
    <xf numFmtId="0" fontId="0" fillId="20" borderId="0" xfId="0" applyFill="1"/>
    <xf numFmtId="0" fontId="3" fillId="16" borderId="0" xfId="0" applyFont="1" applyFill="1" applyAlignment="1">
      <alignment horizontal="center"/>
    </xf>
    <xf numFmtId="0" fontId="32" fillId="21" borderId="0" xfId="0" applyFont="1" applyFill="1"/>
    <xf numFmtId="0" fontId="3" fillId="21" borderId="0" xfId="0" applyFont="1" applyFill="1" applyAlignment="1">
      <alignment horizontal="center"/>
    </xf>
    <xf numFmtId="166" fontId="0" fillId="0" borderId="0" xfId="0" applyNumberFormat="1"/>
    <xf numFmtId="166" fontId="0" fillId="0" borderId="0" xfId="0" applyNumberFormat="1" applyAlignment="1">
      <alignment horizontal="left"/>
    </xf>
    <xf numFmtId="0" fontId="3" fillId="24" borderId="0" xfId="0" applyFont="1" applyFill="1"/>
    <xf numFmtId="166" fontId="19" fillId="0" borderId="0" xfId="0" applyNumberFormat="1" applyFont="1" applyAlignment="1">
      <alignment horizontal="left"/>
    </xf>
    <xf numFmtId="43" fontId="0" fillId="25" borderId="1" xfId="0" applyNumberFormat="1" applyFill="1" applyBorder="1"/>
    <xf numFmtId="44" fontId="0" fillId="25" borderId="1" xfId="0" applyNumberFormat="1" applyFill="1" applyBorder="1"/>
    <xf numFmtId="44" fontId="0" fillId="25" borderId="0" xfId="0" applyNumberFormat="1" applyFill="1"/>
    <xf numFmtId="43" fontId="0" fillId="25" borderId="0" xfId="0" applyNumberFormat="1" applyFill="1"/>
    <xf numFmtId="43" fontId="0" fillId="25" borderId="1" xfId="1" applyFont="1" applyFill="1" applyBorder="1"/>
    <xf numFmtId="44" fontId="0" fillId="25" borderId="1" xfId="2" applyFont="1" applyFill="1" applyBorder="1"/>
    <xf numFmtId="43" fontId="0" fillId="25" borderId="0" xfId="1" applyFont="1" applyFill="1"/>
    <xf numFmtId="44" fontId="0" fillId="25" borderId="15" xfId="2" applyFont="1" applyFill="1" applyBorder="1"/>
    <xf numFmtId="44" fontId="0" fillId="25" borderId="18" xfId="2" applyFont="1" applyFill="1" applyBorder="1"/>
    <xf numFmtId="44" fontId="0" fillId="25" borderId="21" xfId="2" applyFont="1" applyFill="1" applyBorder="1"/>
    <xf numFmtId="44" fontId="0" fillId="25" borderId="14" xfId="2" applyFont="1" applyFill="1" applyBorder="1"/>
    <xf numFmtId="0" fontId="0" fillId="25" borderId="15" xfId="0" applyFill="1" applyBorder="1"/>
    <xf numFmtId="44" fontId="0" fillId="25" borderId="15" xfId="0" applyNumberFormat="1" applyFill="1" applyBorder="1"/>
    <xf numFmtId="44" fontId="0" fillId="25" borderId="17" xfId="2" applyFont="1" applyFill="1" applyBorder="1"/>
    <xf numFmtId="0" fontId="0" fillId="25" borderId="18" xfId="0" applyFill="1" applyBorder="1"/>
    <xf numFmtId="44" fontId="0" fillId="25" borderId="18" xfId="0" applyNumberFormat="1" applyFill="1" applyBorder="1"/>
    <xf numFmtId="0" fontId="0" fillId="25" borderId="21" xfId="0" applyFill="1" applyBorder="1"/>
    <xf numFmtId="44" fontId="0" fillId="25" borderId="21" xfId="0" applyNumberFormat="1" applyFill="1" applyBorder="1"/>
    <xf numFmtId="164" fontId="0" fillId="25" borderId="1" xfId="1" applyNumberFormat="1" applyFont="1" applyFill="1" applyBorder="1"/>
    <xf numFmtId="44" fontId="1" fillId="25" borderId="1" xfId="2" applyFont="1" applyFill="1" applyBorder="1"/>
    <xf numFmtId="0" fontId="0" fillId="25" borderId="3" xfId="0" applyFill="1" applyBorder="1"/>
    <xf numFmtId="43" fontId="0" fillId="25" borderId="10" xfId="1" applyFont="1" applyFill="1" applyBorder="1" applyAlignment="1"/>
    <xf numFmtId="44" fontId="0" fillId="25" borderId="0" xfId="2" applyFont="1" applyFill="1" applyBorder="1"/>
    <xf numFmtId="43" fontId="0" fillId="25" borderId="0" xfId="1" applyFont="1" applyFill="1" applyBorder="1"/>
    <xf numFmtId="0" fontId="0" fillId="25" borderId="0" xfId="0" applyFill="1"/>
    <xf numFmtId="43" fontId="0" fillId="26" borderId="1" xfId="1" applyFont="1" applyFill="1" applyBorder="1" applyProtection="1">
      <protection locked="0"/>
    </xf>
    <xf numFmtId="0" fontId="0" fillId="26" borderId="1" xfId="0" applyFill="1" applyBorder="1" applyProtection="1">
      <protection locked="0"/>
    </xf>
    <xf numFmtId="44" fontId="0" fillId="26" borderId="1" xfId="2" applyFont="1" applyFill="1" applyBorder="1" applyProtection="1">
      <protection locked="0"/>
    </xf>
    <xf numFmtId="0" fontId="0" fillId="26" borderId="16" xfId="0" applyFill="1" applyBorder="1" applyProtection="1">
      <protection locked="0"/>
    </xf>
    <xf numFmtId="0" fontId="0" fillId="26" borderId="19" xfId="0" applyFill="1" applyBorder="1" applyProtection="1">
      <protection locked="0"/>
    </xf>
    <xf numFmtId="0" fontId="0" fillId="26" borderId="22" xfId="0" applyFill="1" applyBorder="1" applyProtection="1">
      <protection locked="0"/>
    </xf>
    <xf numFmtId="0" fontId="0" fillId="26" borderId="14" xfId="0" applyFill="1" applyBorder="1" applyProtection="1">
      <protection locked="0"/>
    </xf>
    <xf numFmtId="0" fontId="0" fillId="26" borderId="15" xfId="0" applyFill="1" applyBorder="1" applyProtection="1">
      <protection locked="0"/>
    </xf>
    <xf numFmtId="164" fontId="0" fillId="26" borderId="15" xfId="1" applyNumberFormat="1" applyFont="1" applyFill="1" applyBorder="1" applyProtection="1">
      <protection locked="0"/>
    </xf>
    <xf numFmtId="14" fontId="0" fillId="26" borderId="15" xfId="0" applyNumberFormat="1" applyFill="1" applyBorder="1" applyProtection="1">
      <protection locked="0"/>
    </xf>
    <xf numFmtId="0" fontId="0" fillId="26" borderId="17" xfId="0" applyFill="1" applyBorder="1" applyProtection="1">
      <protection locked="0"/>
    </xf>
    <xf numFmtId="0" fontId="0" fillId="26" borderId="18" xfId="0" applyFill="1" applyBorder="1" applyProtection="1">
      <protection locked="0"/>
    </xf>
    <xf numFmtId="164" fontId="0" fillId="26" borderId="18" xfId="1" applyNumberFormat="1" applyFont="1" applyFill="1" applyBorder="1" applyProtection="1">
      <protection locked="0"/>
    </xf>
    <xf numFmtId="14" fontId="0" fillId="26" borderId="18" xfId="0" applyNumberFormat="1" applyFill="1" applyBorder="1" applyProtection="1">
      <protection locked="0"/>
    </xf>
    <xf numFmtId="0" fontId="0" fillId="26" borderId="20" xfId="0" applyFill="1" applyBorder="1" applyProtection="1">
      <protection locked="0"/>
    </xf>
    <xf numFmtId="0" fontId="0" fillId="26" borderId="21" xfId="0" applyFill="1" applyBorder="1" applyProtection="1">
      <protection locked="0"/>
    </xf>
    <xf numFmtId="164" fontId="0" fillId="26" borderId="21" xfId="1" applyNumberFormat="1" applyFont="1" applyFill="1" applyBorder="1" applyProtection="1">
      <protection locked="0"/>
    </xf>
    <xf numFmtId="44" fontId="0" fillId="26" borderId="10" xfId="2" applyFont="1" applyFill="1" applyBorder="1" applyAlignment="1" applyProtection="1">
      <protection locked="0"/>
    </xf>
    <xf numFmtId="44" fontId="0" fillId="26" borderId="0" xfId="2" applyFont="1" applyFill="1" applyBorder="1" applyProtection="1">
      <protection locked="0"/>
    </xf>
    <xf numFmtId="0" fontId="0" fillId="18" borderId="10" xfId="0" applyFill="1" applyBorder="1" applyProtection="1">
      <protection locked="0"/>
    </xf>
    <xf numFmtId="44" fontId="0" fillId="18" borderId="10" xfId="2" applyFont="1" applyFill="1" applyBorder="1" applyAlignment="1" applyProtection="1">
      <protection locked="0"/>
    </xf>
    <xf numFmtId="44" fontId="0" fillId="18" borderId="1" xfId="2" applyFont="1" applyFill="1" applyBorder="1" applyProtection="1">
      <protection locked="0"/>
    </xf>
    <xf numFmtId="44" fontId="0" fillId="3" borderId="29" xfId="2" applyFont="1" applyFill="1" applyBorder="1"/>
    <xf numFmtId="44" fontId="0" fillId="3" borderId="30" xfId="2" applyFont="1" applyFill="1" applyBorder="1"/>
    <xf numFmtId="0" fontId="3" fillId="8" borderId="0" xfId="0" applyFont="1" applyFill="1" applyProtection="1">
      <protection locked="0"/>
    </xf>
    <xf numFmtId="44" fontId="3" fillId="8" borderId="0" xfId="2" applyFont="1" applyFill="1" applyBorder="1"/>
    <xf numFmtId="0" fontId="3" fillId="8" borderId="0" xfId="0" applyFont="1" applyFill="1"/>
    <xf numFmtId="0" fontId="3" fillId="8" borderId="2" xfId="0" applyFont="1" applyFill="1" applyBorder="1" applyProtection="1">
      <protection locked="0"/>
    </xf>
    <xf numFmtId="44" fontId="3" fillId="8" borderId="2" xfId="2" applyFont="1" applyFill="1" applyBorder="1"/>
    <xf numFmtId="0" fontId="3" fillId="8" borderId="2" xfId="0" applyFont="1" applyFill="1" applyBorder="1"/>
    <xf numFmtId="44" fontId="0" fillId="25" borderId="29" xfId="2" applyFont="1" applyFill="1" applyBorder="1"/>
    <xf numFmtId="44" fontId="0" fillId="25" borderId="30" xfId="2" applyFont="1" applyFill="1" applyBorder="1"/>
    <xf numFmtId="44" fontId="0" fillId="25" borderId="20" xfId="2" applyFont="1" applyFill="1" applyBorder="1"/>
    <xf numFmtId="44" fontId="0" fillId="25" borderId="31" xfId="2" applyFont="1" applyFill="1" applyBorder="1"/>
    <xf numFmtId="164" fontId="3" fillId="8" borderId="0" xfId="1" applyNumberFormat="1" applyFont="1" applyFill="1" applyBorder="1" applyProtection="1"/>
    <xf numFmtId="164" fontId="3" fillId="8" borderId="2" xfId="1" applyNumberFormat="1" applyFont="1" applyFill="1" applyBorder="1" applyProtection="1"/>
    <xf numFmtId="0" fontId="3" fillId="8" borderId="2" xfId="0" applyFont="1" applyFill="1" applyBorder="1" applyAlignment="1">
      <alignment wrapText="1"/>
    </xf>
    <xf numFmtId="0" fontId="3" fillId="5" borderId="0" xfId="0" applyFont="1" applyFill="1"/>
    <xf numFmtId="0" fontId="3" fillId="5" borderId="0" xfId="0" applyFont="1" applyFill="1" applyAlignment="1">
      <alignment horizontal="left"/>
    </xf>
    <xf numFmtId="0" fontId="17" fillId="5" borderId="0" xfId="0" applyFont="1" applyFill="1" applyAlignment="1">
      <alignment horizontal="right"/>
    </xf>
    <xf numFmtId="43" fontId="3" fillId="5" borderId="0" xfId="1" applyFont="1" applyFill="1" applyBorder="1"/>
    <xf numFmtId="43" fontId="34" fillId="5" borderId="0" xfId="0" applyNumberFormat="1" applyFont="1" applyFill="1"/>
    <xf numFmtId="165" fontId="3" fillId="5" borderId="0" xfId="1" applyNumberFormat="1" applyFont="1" applyFill="1" applyBorder="1"/>
    <xf numFmtId="165" fontId="34" fillId="5" borderId="0" xfId="0" applyNumberFormat="1" applyFont="1" applyFill="1"/>
    <xf numFmtId="0" fontId="0" fillId="0" borderId="3" xfId="0" applyBorder="1" applyProtection="1">
      <protection locked="0"/>
    </xf>
    <xf numFmtId="0" fontId="0" fillId="26" borderId="15" xfId="0" applyFill="1" applyBorder="1" applyAlignment="1" applyProtection="1">
      <alignment wrapText="1"/>
      <protection locked="0"/>
    </xf>
    <xf numFmtId="0" fontId="0" fillId="26" borderId="18" xfId="0" applyFill="1" applyBorder="1" applyAlignment="1" applyProtection="1">
      <alignment wrapText="1"/>
      <protection locked="0"/>
    </xf>
    <xf numFmtId="0" fontId="0" fillId="26" borderId="21" xfId="0" applyFill="1" applyBorder="1" applyAlignment="1" applyProtection="1">
      <alignment wrapText="1"/>
      <protection locked="0"/>
    </xf>
    <xf numFmtId="0" fontId="0" fillId="0" borderId="16" xfId="0" applyBorder="1" applyAlignment="1" applyProtection="1">
      <alignment wrapText="1"/>
      <protection locked="0"/>
    </xf>
    <xf numFmtId="0" fontId="0" fillId="0" borderId="19" xfId="0" applyBorder="1" applyAlignment="1" applyProtection="1">
      <alignment wrapText="1"/>
      <protection locked="0"/>
    </xf>
    <xf numFmtId="0" fontId="0" fillId="0" borderId="22" xfId="0" applyBorder="1" applyAlignment="1" applyProtection="1">
      <alignment wrapText="1"/>
      <protection locked="0"/>
    </xf>
    <xf numFmtId="0" fontId="0" fillId="7" borderId="15" xfId="0" applyFill="1" applyBorder="1" applyAlignment="1" applyProtection="1">
      <alignment wrapText="1"/>
      <protection locked="0"/>
    </xf>
    <xf numFmtId="0" fontId="0" fillId="7" borderId="18" xfId="0" applyFill="1" applyBorder="1" applyAlignment="1" applyProtection="1">
      <alignment wrapText="1"/>
      <protection locked="0"/>
    </xf>
    <xf numFmtId="0" fontId="0" fillId="7" borderId="21" xfId="0" applyFill="1" applyBorder="1" applyAlignment="1" applyProtection="1">
      <alignment wrapText="1"/>
      <protection locked="0"/>
    </xf>
    <xf numFmtId="0" fontId="0" fillId="4" borderId="15" xfId="0" applyFill="1" applyBorder="1" applyAlignment="1" applyProtection="1">
      <alignment wrapText="1"/>
      <protection locked="0"/>
    </xf>
    <xf numFmtId="0" fontId="0" fillId="4" borderId="18" xfId="0" applyFill="1" applyBorder="1" applyAlignment="1" applyProtection="1">
      <alignment wrapText="1"/>
      <protection locked="0"/>
    </xf>
    <xf numFmtId="0" fontId="0" fillId="4" borderId="21" xfId="0" applyFill="1" applyBorder="1" applyAlignment="1" applyProtection="1">
      <alignment wrapText="1"/>
      <protection locked="0"/>
    </xf>
    <xf numFmtId="0" fontId="0" fillId="22" borderId="0" xfId="0" applyFill="1" applyAlignment="1">
      <alignment horizontal="center"/>
    </xf>
    <xf numFmtId="0" fontId="0" fillId="23" borderId="0" xfId="0" applyFill="1" applyAlignment="1">
      <alignment horizontal="center"/>
    </xf>
    <xf numFmtId="0" fontId="0" fillId="20" borderId="0" xfId="0" applyFill="1" applyAlignment="1">
      <alignment horizontal="center"/>
    </xf>
    <xf numFmtId="0" fontId="21" fillId="0" borderId="0" xfId="0" applyFont="1" applyAlignment="1">
      <alignment horizontal="center"/>
    </xf>
    <xf numFmtId="0" fontId="0" fillId="9" borderId="1" xfId="0" applyFill="1" applyBorder="1" applyAlignment="1" applyProtection="1">
      <alignment horizontal="center"/>
      <protection locked="0"/>
    </xf>
    <xf numFmtId="0" fontId="0" fillId="9" borderId="1" xfId="0" applyFill="1" applyBorder="1" applyAlignment="1" applyProtection="1">
      <alignment horizontal="left"/>
      <protection locked="0"/>
    </xf>
    <xf numFmtId="14" fontId="0" fillId="9" borderId="1" xfId="0" applyNumberFormat="1" applyFill="1" applyBorder="1" applyAlignment="1" applyProtection="1">
      <alignment horizontal="center"/>
      <protection locked="0"/>
    </xf>
    <xf numFmtId="0" fontId="0" fillId="4" borderId="1" xfId="0" applyFill="1" applyBorder="1" applyAlignment="1" applyProtection="1">
      <alignment horizontal="left"/>
      <protection locked="0"/>
    </xf>
    <xf numFmtId="0" fontId="0" fillId="0" borderId="0" xfId="0" applyAlignment="1">
      <alignment horizontal="left" vertical="top" wrapText="1"/>
    </xf>
    <xf numFmtId="0" fontId="12" fillId="0" borderId="0" xfId="0" applyFont="1" applyAlignment="1">
      <alignment horizontal="left" vertical="top" wrapText="1"/>
    </xf>
    <xf numFmtId="0" fontId="0" fillId="0" borderId="1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3" fillId="10" borderId="0" xfId="0" applyFont="1" applyFill="1" applyAlignment="1">
      <alignment horizontal="center"/>
    </xf>
    <xf numFmtId="0" fontId="0" fillId="0" borderId="0" xfId="0" applyAlignment="1">
      <alignment horizontal="center"/>
    </xf>
    <xf numFmtId="0" fontId="0" fillId="4" borderId="1" xfId="0" applyFill="1" applyBorder="1" applyAlignment="1" applyProtection="1">
      <alignment horizontal="center"/>
      <protection locked="0"/>
    </xf>
    <xf numFmtId="0" fontId="0" fillId="0" borderId="3" xfId="0" applyBorder="1" applyAlignment="1" applyProtection="1">
      <alignment horizontal="left" vertical="top" wrapText="1"/>
      <protection locked="0"/>
    </xf>
    <xf numFmtId="14" fontId="0" fillId="4" borderId="1" xfId="0" applyNumberFormat="1" applyFill="1" applyBorder="1" applyAlignment="1" applyProtection="1">
      <alignment horizontal="center"/>
      <protection locked="0"/>
    </xf>
    <xf numFmtId="0" fontId="3" fillId="5" borderId="3" xfId="0" applyFont="1" applyFill="1" applyBorder="1" applyAlignment="1">
      <alignment horizontal="center" vertical="top" wrapText="1"/>
    </xf>
    <xf numFmtId="0" fontId="0" fillId="7" borderId="1" xfId="0" applyFill="1" applyBorder="1" applyAlignment="1" applyProtection="1">
      <alignment horizontal="center"/>
      <protection locked="0"/>
    </xf>
    <xf numFmtId="0" fontId="0" fillId="19" borderId="1" xfId="0" applyFill="1" applyBorder="1" applyAlignment="1" applyProtection="1">
      <alignment horizontal="center"/>
      <protection locked="0"/>
    </xf>
    <xf numFmtId="14" fontId="0" fillId="19" borderId="1" xfId="0" applyNumberFormat="1" applyFill="1" applyBorder="1" applyAlignment="1" applyProtection="1">
      <alignment horizontal="center"/>
      <protection locked="0"/>
    </xf>
    <xf numFmtId="0" fontId="0" fillId="7" borderId="1" xfId="0" applyFill="1" applyBorder="1" applyAlignment="1" applyProtection="1">
      <alignment horizontal="left"/>
      <protection locked="0"/>
    </xf>
    <xf numFmtId="0" fontId="12" fillId="0" borderId="5" xfId="0" applyFont="1" applyBorder="1" applyAlignment="1">
      <alignment horizontal="left" vertical="top" wrapText="1"/>
    </xf>
    <xf numFmtId="14" fontId="0" fillId="7" borderId="1" xfId="0" applyNumberFormat="1" applyFill="1" applyBorder="1" applyAlignment="1" applyProtection="1">
      <alignment horizontal="center"/>
      <protection locked="0"/>
    </xf>
    <xf numFmtId="0" fontId="0" fillId="0" borderId="3" xfId="0" applyBorder="1" applyAlignment="1" applyProtection="1">
      <alignment horizontal="center" wrapText="1"/>
      <protection locked="0"/>
    </xf>
    <xf numFmtId="0" fontId="0" fillId="26" borderId="1" xfId="0" applyFill="1" applyBorder="1" applyAlignment="1" applyProtection="1">
      <alignment horizontal="center"/>
      <protection locked="0"/>
    </xf>
    <xf numFmtId="14" fontId="0" fillId="26" borderId="1" xfId="0" applyNumberFormat="1" applyFill="1" applyBorder="1" applyAlignment="1" applyProtection="1">
      <alignment horizontal="center"/>
      <protection locked="0"/>
    </xf>
    <xf numFmtId="0" fontId="0" fillId="26" borderId="1" xfId="0" applyFill="1" applyBorder="1" applyAlignment="1" applyProtection="1">
      <alignment horizontal="left"/>
      <protection locked="0"/>
    </xf>
    <xf numFmtId="0" fontId="3" fillId="5" borderId="3" xfId="0" applyFont="1" applyFill="1" applyBorder="1" applyAlignment="1">
      <alignment horizontal="center" wrapText="1"/>
    </xf>
    <xf numFmtId="0" fontId="0" fillId="18" borderId="1" xfId="0" applyFill="1" applyBorder="1" applyAlignment="1" applyProtection="1">
      <alignment horizontal="center"/>
      <protection locked="0"/>
    </xf>
    <xf numFmtId="14" fontId="0" fillId="18" borderId="1" xfId="0" applyNumberFormat="1" applyFill="1" applyBorder="1" applyAlignment="1" applyProtection="1">
      <alignment horizontal="center"/>
      <protection locked="0"/>
    </xf>
    <xf numFmtId="0" fontId="3" fillId="10" borderId="5" xfId="0" applyFont="1" applyFill="1" applyBorder="1" applyAlignment="1">
      <alignment horizontal="center"/>
    </xf>
    <xf numFmtId="0" fontId="27" fillId="0" borderId="0" xfId="0" applyFont="1" applyAlignment="1">
      <alignment horizontal="center"/>
    </xf>
    <xf numFmtId="0" fontId="0" fillId="6" borderId="1" xfId="0" applyFill="1" applyBorder="1" applyAlignment="1" applyProtection="1">
      <alignment horizontal="left"/>
      <protection locked="0"/>
    </xf>
    <xf numFmtId="0" fontId="0" fillId="6" borderId="1" xfId="0" applyFill="1" applyBorder="1" applyAlignment="1" applyProtection="1">
      <alignment horizontal="center"/>
      <protection locked="0"/>
    </xf>
    <xf numFmtId="0" fontId="3" fillId="8" borderId="3" xfId="0" applyFont="1" applyFill="1" applyBorder="1" applyAlignment="1">
      <alignment horizontal="center"/>
    </xf>
    <xf numFmtId="0" fontId="14" fillId="6" borderId="1" xfId="0" applyFont="1" applyFill="1" applyBorder="1" applyAlignment="1" applyProtection="1">
      <alignment horizontal="center"/>
      <protection locked="0"/>
    </xf>
    <xf numFmtId="0" fontId="0" fillId="6" borderId="3" xfId="0" applyFill="1" applyBorder="1" applyAlignment="1" applyProtection="1">
      <alignment horizontal="left" wrapText="1"/>
      <protection locked="0"/>
    </xf>
    <xf numFmtId="0" fontId="13" fillId="0" borderId="0" xfId="0" applyFont="1" applyAlignment="1">
      <alignment horizontal="left" vertical="top"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Light16"/>
  <colors>
    <mruColors>
      <color rgb="FFCC99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G$13" lockText="1" noThreeD="1"/>
</file>

<file path=xl/ctrlProps/ctrlProp5.xml><?xml version="1.0" encoding="utf-8"?>
<formControlPr xmlns="http://schemas.microsoft.com/office/spreadsheetml/2009/9/main" objectType="CheckBox" fmlaLink="$G$14" lockText="1" noThreeD="1"/>
</file>

<file path=xl/ctrlProps/ctrlProp6.xml><?xml version="1.0" encoding="utf-8"?>
<formControlPr xmlns="http://schemas.microsoft.com/office/spreadsheetml/2009/9/main" objectType="CheckBox" fmlaLink="$G$15" lockText="1" noThreeD="1"/>
</file>

<file path=xl/ctrlProps/ctrlProp7.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419100</xdr:colOff>
          <xdr:row>34</xdr:row>
          <xdr:rowOff>200025</xdr:rowOff>
        </xdr:from>
        <xdr:to>
          <xdr:col>5</xdr:col>
          <xdr:colOff>762000</xdr:colOff>
          <xdr:row>36</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35</xdr:row>
          <xdr:rowOff>0</xdr:rowOff>
        </xdr:from>
        <xdr:to>
          <xdr:col>6</xdr:col>
          <xdr:colOff>771525</xdr:colOff>
          <xdr:row>36</xdr:row>
          <xdr:rowOff>19050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34</xdr:row>
          <xdr:rowOff>200025</xdr:rowOff>
        </xdr:from>
        <xdr:to>
          <xdr:col>8</xdr:col>
          <xdr:colOff>28575</xdr:colOff>
          <xdr:row>36</xdr:row>
          <xdr:rowOff>9525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11</xdr:row>
          <xdr:rowOff>180975</xdr:rowOff>
        </xdr:from>
        <xdr:to>
          <xdr:col>1</xdr:col>
          <xdr:colOff>952500</xdr:colOff>
          <xdr:row>13</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13</xdr:row>
          <xdr:rowOff>9525</xdr:rowOff>
        </xdr:from>
        <xdr:to>
          <xdr:col>1</xdr:col>
          <xdr:colOff>895350</xdr:colOff>
          <xdr:row>14</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13</xdr:row>
          <xdr:rowOff>190500</xdr:rowOff>
        </xdr:from>
        <xdr:to>
          <xdr:col>1</xdr:col>
          <xdr:colOff>847725</xdr:colOff>
          <xdr:row>14</xdr:row>
          <xdr:rowOff>180975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102</xdr:row>
          <xdr:rowOff>0</xdr:rowOff>
        </xdr:from>
        <xdr:to>
          <xdr:col>2</xdr:col>
          <xdr:colOff>123825</xdr:colOff>
          <xdr:row>103</xdr:row>
          <xdr:rowOff>38100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3</xdr:row>
      <xdr:rowOff>66675</xdr:rowOff>
    </xdr:from>
    <xdr:to>
      <xdr:col>11</xdr:col>
      <xdr:colOff>200026</xdr:colOff>
      <xdr:row>16</xdr:row>
      <xdr:rowOff>161925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l="40065" t="22030" r="30314" b="23951"/>
        <a:stretch/>
      </xdr:blipFill>
      <xdr:spPr>
        <a:xfrm>
          <a:off x="638176" y="638175"/>
          <a:ext cx="6267450" cy="2571750"/>
        </a:xfrm>
        <a:prstGeom prst="rect">
          <a:avLst/>
        </a:prstGeom>
      </xdr:spPr>
    </xdr:pic>
    <xdr:clientData/>
  </xdr:twoCellAnchor>
  <xdr:twoCellAnchor>
    <xdr:from>
      <xdr:col>0</xdr:col>
      <xdr:colOff>542925</xdr:colOff>
      <xdr:row>7</xdr:row>
      <xdr:rowOff>104775</xdr:rowOff>
    </xdr:from>
    <xdr:to>
      <xdr:col>2</xdr:col>
      <xdr:colOff>390525</xdr:colOff>
      <xdr:row>8</xdr:row>
      <xdr:rowOff>161925</xdr:rowOff>
    </xdr:to>
    <xdr:sp macro="" textlink="">
      <xdr:nvSpPr>
        <xdr:cNvPr id="3" name="Oval 2">
          <a:extLst>
            <a:ext uri="{FF2B5EF4-FFF2-40B4-BE49-F238E27FC236}">
              <a16:creationId xmlns:a16="http://schemas.microsoft.com/office/drawing/2014/main" id="{00000000-0008-0000-0600-000003000000}"/>
            </a:ext>
          </a:extLst>
        </xdr:cNvPr>
        <xdr:cNvSpPr/>
      </xdr:nvSpPr>
      <xdr:spPr>
        <a:xfrm>
          <a:off x="542925" y="1438275"/>
          <a:ext cx="106680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9526</xdr:colOff>
      <xdr:row>23</xdr:row>
      <xdr:rowOff>85724</xdr:rowOff>
    </xdr:from>
    <xdr:to>
      <xdr:col>8</xdr:col>
      <xdr:colOff>409575</xdr:colOff>
      <xdr:row>36</xdr:row>
      <xdr:rowOff>28541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333376" y="4276724"/>
          <a:ext cx="4667249" cy="2419317"/>
        </a:xfrm>
        <a:prstGeom prst="rect">
          <a:avLst/>
        </a:prstGeom>
      </xdr:spPr>
    </xdr:pic>
    <xdr:clientData/>
  </xdr:twoCellAnchor>
  <xdr:twoCellAnchor>
    <xdr:from>
      <xdr:col>7</xdr:col>
      <xdr:colOff>447675</xdr:colOff>
      <xdr:row>24</xdr:row>
      <xdr:rowOff>28575</xdr:rowOff>
    </xdr:from>
    <xdr:to>
      <xdr:col>8</xdr:col>
      <xdr:colOff>561975</xdr:colOff>
      <xdr:row>25</xdr:row>
      <xdr:rowOff>180975</xdr:rowOff>
    </xdr:to>
    <xdr:sp macro="" textlink="">
      <xdr:nvSpPr>
        <xdr:cNvPr id="5" name="Oval 4">
          <a:extLst>
            <a:ext uri="{FF2B5EF4-FFF2-40B4-BE49-F238E27FC236}">
              <a16:creationId xmlns:a16="http://schemas.microsoft.com/office/drawing/2014/main" id="{00000000-0008-0000-0600-000005000000}"/>
            </a:ext>
          </a:extLst>
        </xdr:cNvPr>
        <xdr:cNvSpPr/>
      </xdr:nvSpPr>
      <xdr:spPr>
        <a:xfrm>
          <a:off x="4429125" y="4410075"/>
          <a:ext cx="723900" cy="3429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314325</xdr:colOff>
      <xdr:row>23</xdr:row>
      <xdr:rowOff>85725</xdr:rowOff>
    </xdr:from>
    <xdr:to>
      <xdr:col>15</xdr:col>
      <xdr:colOff>62368</xdr:colOff>
      <xdr:row>36</xdr:row>
      <xdr:rowOff>123825</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5514975" y="4276725"/>
          <a:ext cx="3405643" cy="2514600"/>
        </a:xfrm>
        <a:prstGeom prst="rect">
          <a:avLst/>
        </a:prstGeom>
      </xdr:spPr>
    </xdr:pic>
    <xdr:clientData/>
  </xdr:twoCellAnchor>
  <xdr:twoCellAnchor>
    <xdr:from>
      <xdr:col>11</xdr:col>
      <xdr:colOff>209550</xdr:colOff>
      <xdr:row>33</xdr:row>
      <xdr:rowOff>0</xdr:rowOff>
    </xdr:from>
    <xdr:to>
      <xdr:col>12</xdr:col>
      <xdr:colOff>323850</xdr:colOff>
      <xdr:row>34</xdr:row>
      <xdr:rowOff>152400</xdr:rowOff>
    </xdr:to>
    <xdr:sp macro="" textlink="">
      <xdr:nvSpPr>
        <xdr:cNvPr id="7" name="Oval 6">
          <a:extLst>
            <a:ext uri="{FF2B5EF4-FFF2-40B4-BE49-F238E27FC236}">
              <a16:creationId xmlns:a16="http://schemas.microsoft.com/office/drawing/2014/main" id="{00000000-0008-0000-0600-000007000000}"/>
            </a:ext>
          </a:extLst>
        </xdr:cNvPr>
        <xdr:cNvSpPr/>
      </xdr:nvSpPr>
      <xdr:spPr>
        <a:xfrm>
          <a:off x="6629400" y="6096000"/>
          <a:ext cx="723900" cy="3429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opm.gov/policy-data-oversight/pay-leave/salaries-wages/salary-tables/22Tables/exec/html/EX.aspx" TargetMode="External"/><Relationship Id="rId1" Type="http://schemas.openxmlformats.org/officeDocument/2006/relationships/hyperlink" Target="https://grants.nih.gov/grants/policy/salcap_summary.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2"/>
  <sheetViews>
    <sheetView tabSelected="1" workbookViewId="0">
      <selection activeCell="K21" sqref="K21"/>
    </sheetView>
  </sheetViews>
  <sheetFormatPr defaultRowHeight="15" x14ac:dyDescent="0.25"/>
  <cols>
    <col min="1" max="1" width="4.28515625" customWidth="1"/>
    <col min="2" max="2" width="1.42578125" customWidth="1"/>
    <col min="3" max="3" width="4.28515625" customWidth="1"/>
    <col min="4" max="4" width="23.5703125" customWidth="1"/>
    <col min="5" max="5" width="1.7109375" customWidth="1"/>
    <col min="6" max="6" width="23.7109375" customWidth="1"/>
    <col min="11" max="11" width="18.28515625" customWidth="1"/>
    <col min="12" max="13" width="18.7109375" customWidth="1"/>
    <col min="14" max="14" width="22.140625" customWidth="1"/>
  </cols>
  <sheetData>
    <row r="1" spans="1:14" ht="15.75" x14ac:dyDescent="0.25">
      <c r="A1" s="190" t="s">
        <v>462</v>
      </c>
      <c r="B1" s="190"/>
    </row>
    <row r="2" spans="1:14" x14ac:dyDescent="0.25">
      <c r="A2" t="s">
        <v>320</v>
      </c>
    </row>
    <row r="3" spans="1:14" ht="6.75" customHeight="1" x14ac:dyDescent="0.25"/>
    <row r="4" spans="1:14" x14ac:dyDescent="0.25">
      <c r="B4" t="s">
        <v>449</v>
      </c>
      <c r="C4" t="s">
        <v>319</v>
      </c>
      <c r="J4" s="2" t="s">
        <v>463</v>
      </c>
    </row>
    <row r="5" spans="1:14" x14ac:dyDescent="0.25">
      <c r="D5" s="196" t="s">
        <v>420</v>
      </c>
      <c r="F5" s="23" t="s">
        <v>422</v>
      </c>
      <c r="J5" t="s">
        <v>464</v>
      </c>
    </row>
    <row r="6" spans="1:14" x14ac:dyDescent="0.25">
      <c r="D6" s="222" t="s">
        <v>421</v>
      </c>
      <c r="F6" s="23" t="s">
        <v>448</v>
      </c>
    </row>
    <row r="7" spans="1:14" x14ac:dyDescent="0.25">
      <c r="D7" s="197" t="s">
        <v>316</v>
      </c>
      <c r="F7" s="23" t="s">
        <v>371</v>
      </c>
      <c r="J7" t="s">
        <v>458</v>
      </c>
    </row>
    <row r="8" spans="1:14" x14ac:dyDescent="0.25">
      <c r="D8" s="220" t="s">
        <v>230</v>
      </c>
      <c r="F8" s="23" t="s">
        <v>371</v>
      </c>
      <c r="K8" s="226" t="s">
        <v>457</v>
      </c>
      <c r="L8" s="226" t="s">
        <v>459</v>
      </c>
      <c r="M8" s="226" t="s">
        <v>460</v>
      </c>
      <c r="N8" s="226" t="s">
        <v>461</v>
      </c>
    </row>
    <row r="9" spans="1:14" x14ac:dyDescent="0.25">
      <c r="B9" t="s">
        <v>449</v>
      </c>
      <c r="C9" t="s">
        <v>317</v>
      </c>
      <c r="K9" s="225">
        <v>45413</v>
      </c>
      <c r="L9" s="225">
        <v>45384</v>
      </c>
      <c r="M9" s="225">
        <v>45386</v>
      </c>
      <c r="N9" s="225">
        <v>45391</v>
      </c>
    </row>
    <row r="10" spans="1:14" x14ac:dyDescent="0.25">
      <c r="B10" t="s">
        <v>449</v>
      </c>
      <c r="C10" t="s">
        <v>318</v>
      </c>
      <c r="K10" s="225">
        <v>45444</v>
      </c>
      <c r="L10" s="225">
        <v>45415</v>
      </c>
      <c r="M10" s="225">
        <v>45418</v>
      </c>
      <c r="N10" s="225">
        <v>45422</v>
      </c>
    </row>
    <row r="11" spans="1:14" x14ac:dyDescent="0.25">
      <c r="B11" t="s">
        <v>449</v>
      </c>
      <c r="C11" s="209" t="s">
        <v>321</v>
      </c>
      <c r="K11" s="227">
        <v>45474</v>
      </c>
      <c r="L11" s="227">
        <v>45442</v>
      </c>
      <c r="M11" s="227">
        <v>45446</v>
      </c>
      <c r="N11" s="227">
        <v>45449</v>
      </c>
    </row>
    <row r="12" spans="1:14" x14ac:dyDescent="0.25">
      <c r="K12" s="227">
        <v>45505</v>
      </c>
      <c r="L12" s="227">
        <v>45476</v>
      </c>
      <c r="M12" s="227">
        <v>45478</v>
      </c>
      <c r="N12" s="227">
        <v>45483</v>
      </c>
    </row>
    <row r="13" spans="1:14" x14ac:dyDescent="0.25">
      <c r="D13" s="310" t="s">
        <v>456</v>
      </c>
      <c r="E13" s="310"/>
      <c r="F13" s="310"/>
      <c r="K13" s="227">
        <v>45536</v>
      </c>
      <c r="L13" s="227">
        <v>45505</v>
      </c>
      <c r="M13" s="227">
        <v>45509</v>
      </c>
      <c r="N13" s="227">
        <v>45512</v>
      </c>
    </row>
    <row r="14" spans="1:14" x14ac:dyDescent="0.25">
      <c r="D14" s="311" t="s">
        <v>140</v>
      </c>
      <c r="E14" s="311"/>
      <c r="F14" s="311"/>
      <c r="K14" s="225">
        <v>45566</v>
      </c>
      <c r="L14" s="225">
        <v>45537</v>
      </c>
      <c r="M14" s="225">
        <v>45539</v>
      </c>
      <c r="N14" s="225">
        <v>45544</v>
      </c>
    </row>
    <row r="15" spans="1:14" x14ac:dyDescent="0.25">
      <c r="D15" s="221" t="s">
        <v>417</v>
      </c>
      <c r="E15" s="21"/>
      <c r="F15" s="223" t="s">
        <v>418</v>
      </c>
      <c r="K15" s="225">
        <v>45597</v>
      </c>
      <c r="L15" s="225">
        <v>45568</v>
      </c>
      <c r="M15" s="225">
        <v>45572</v>
      </c>
      <c r="N15" s="225">
        <v>45575</v>
      </c>
    </row>
    <row r="16" spans="1:14" x14ac:dyDescent="0.25">
      <c r="D16" t="s">
        <v>450</v>
      </c>
      <c r="F16" t="s">
        <v>450</v>
      </c>
      <c r="K16" s="225">
        <v>45627</v>
      </c>
      <c r="L16" s="225">
        <v>46689</v>
      </c>
      <c r="M16" s="225">
        <v>45596</v>
      </c>
      <c r="N16" s="225">
        <v>45601</v>
      </c>
    </row>
    <row r="17" spans="1:11" x14ac:dyDescent="0.25">
      <c r="D17" t="s">
        <v>451</v>
      </c>
      <c r="F17" t="s">
        <v>451</v>
      </c>
    </row>
    <row r="18" spans="1:11" x14ac:dyDescent="0.25">
      <c r="D18" t="s">
        <v>452</v>
      </c>
      <c r="F18" t="s">
        <v>455</v>
      </c>
    </row>
    <row r="19" spans="1:11" x14ac:dyDescent="0.25">
      <c r="D19" t="s">
        <v>453</v>
      </c>
      <c r="F19" t="s">
        <v>453</v>
      </c>
    </row>
    <row r="20" spans="1:11" x14ac:dyDescent="0.25">
      <c r="D20" t="s">
        <v>454</v>
      </c>
      <c r="F20" t="s">
        <v>454</v>
      </c>
    </row>
    <row r="22" spans="1:11" x14ac:dyDescent="0.25">
      <c r="D22" s="312" t="s">
        <v>230</v>
      </c>
      <c r="E22" s="312"/>
      <c r="F22" s="312"/>
    </row>
    <row r="23" spans="1:11" x14ac:dyDescent="0.25">
      <c r="D23" s="219" t="s">
        <v>417</v>
      </c>
      <c r="G23" s="200"/>
    </row>
    <row r="24" spans="1:11" x14ac:dyDescent="0.25">
      <c r="D24" t="s">
        <v>450</v>
      </c>
      <c r="G24" s="200"/>
      <c r="K24" s="224"/>
    </row>
    <row r="25" spans="1:11" x14ac:dyDescent="0.25">
      <c r="A25" s="200"/>
      <c r="B25" s="200"/>
      <c r="C25" s="200"/>
      <c r="D25" t="s">
        <v>451</v>
      </c>
      <c r="E25" s="200"/>
      <c r="F25" s="200"/>
      <c r="G25" s="200"/>
      <c r="K25" s="224"/>
    </row>
    <row r="26" spans="1:11" x14ac:dyDescent="0.25">
      <c r="D26" t="s">
        <v>452</v>
      </c>
      <c r="K26" s="224"/>
    </row>
    <row r="27" spans="1:11" x14ac:dyDescent="0.25">
      <c r="D27" t="s">
        <v>446</v>
      </c>
      <c r="K27" s="224"/>
    </row>
    <row r="28" spans="1:11" x14ac:dyDescent="0.25">
      <c r="D28" t="s">
        <v>453</v>
      </c>
      <c r="F28" s="198"/>
      <c r="K28" s="224"/>
    </row>
    <row r="29" spans="1:11" x14ac:dyDescent="0.25">
      <c r="A29" s="198"/>
      <c r="B29" s="198"/>
      <c r="C29" s="198"/>
      <c r="D29" t="s">
        <v>454</v>
      </c>
    </row>
    <row r="32" spans="1:11" x14ac:dyDescent="0.25">
      <c r="A32" s="198" t="s">
        <v>322</v>
      </c>
      <c r="B32" s="198"/>
      <c r="C32" s="198"/>
      <c r="D32" s="201">
        <v>45400</v>
      </c>
      <c r="F32" s="199" t="s">
        <v>323</v>
      </c>
      <c r="G32" s="198" t="s">
        <v>324</v>
      </c>
    </row>
  </sheetData>
  <mergeCells count="3">
    <mergeCell ref="D13:F13"/>
    <mergeCell ref="D14:F14"/>
    <mergeCell ref="D22:F22"/>
  </mergeCell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249977111117893"/>
    <pageSetUpPr fitToPage="1"/>
  </sheetPr>
  <dimension ref="A1:O115"/>
  <sheetViews>
    <sheetView topLeftCell="A13" zoomScale="80" zoomScaleNormal="80" workbookViewId="0">
      <selection activeCell="B27" sqref="B27"/>
    </sheetView>
  </sheetViews>
  <sheetFormatPr defaultRowHeight="15" x14ac:dyDescent="0.25"/>
  <cols>
    <col min="1" max="1" width="12.5703125" customWidth="1"/>
    <col min="2" max="2" width="37.85546875" customWidth="1"/>
    <col min="3" max="3" width="15" customWidth="1"/>
    <col min="4" max="4" width="16.28515625" customWidth="1"/>
    <col min="5" max="5" width="13.85546875" customWidth="1"/>
    <col min="6" max="6" width="14" customWidth="1"/>
    <col min="7" max="7" width="12" customWidth="1"/>
    <col min="8" max="8" width="11.85546875" customWidth="1"/>
    <col min="9" max="9" width="2.42578125" customWidth="1"/>
    <col min="10" max="10" width="13.7109375" customWidth="1"/>
    <col min="11" max="11" width="14.85546875" customWidth="1"/>
    <col min="12" max="12" width="15.7109375" customWidth="1"/>
    <col min="13" max="13" width="13.28515625" customWidth="1"/>
    <col min="14" max="14" width="14.140625" customWidth="1"/>
    <col min="15" max="15" width="43.42578125" customWidth="1"/>
  </cols>
  <sheetData>
    <row r="1" spans="1:14" ht="19.5" customHeight="1" x14ac:dyDescent="0.35">
      <c r="A1" s="313" t="s">
        <v>437</v>
      </c>
      <c r="B1" s="313"/>
      <c r="C1" s="313"/>
      <c r="D1" s="313"/>
      <c r="E1" s="313"/>
      <c r="F1" s="313"/>
      <c r="G1" s="313"/>
      <c r="H1" s="313"/>
      <c r="I1" s="313"/>
      <c r="J1" s="313"/>
      <c r="K1" s="313"/>
      <c r="L1" s="313"/>
      <c r="M1" s="313"/>
      <c r="N1" s="313"/>
    </row>
    <row r="2" spans="1:14" ht="19.5" customHeight="1" x14ac:dyDescent="0.35">
      <c r="A2" s="313" t="s">
        <v>399</v>
      </c>
      <c r="B2" s="313"/>
      <c r="C2" s="313"/>
      <c r="D2" s="313"/>
      <c r="E2" s="313"/>
      <c r="F2" s="313"/>
      <c r="G2" s="313"/>
      <c r="H2" s="313"/>
      <c r="I2" s="313"/>
      <c r="J2" s="313"/>
      <c r="K2" s="313"/>
      <c r="L2" s="313"/>
      <c r="M2" s="313"/>
      <c r="N2" s="313"/>
    </row>
    <row r="3" spans="1:14" ht="14.25" customHeight="1" x14ac:dyDescent="0.25">
      <c r="A3" s="324" t="s">
        <v>435</v>
      </c>
      <c r="B3" s="324"/>
      <c r="C3" s="324"/>
      <c r="D3" s="324"/>
      <c r="E3" s="324"/>
      <c r="F3" s="324"/>
      <c r="G3" s="324"/>
      <c r="H3" s="324"/>
      <c r="I3" s="324"/>
      <c r="J3" s="324"/>
      <c r="K3" s="324"/>
      <c r="L3" s="324"/>
      <c r="M3" s="324"/>
      <c r="N3" s="324"/>
    </row>
    <row r="4" spans="1:14" ht="9" customHeight="1" x14ac:dyDescent="0.25"/>
    <row r="5" spans="1:14" ht="19.5" customHeight="1" x14ac:dyDescent="0.25">
      <c r="A5" s="27" t="s">
        <v>1</v>
      </c>
      <c r="B5" s="317"/>
      <c r="C5" s="317"/>
      <c r="D5" s="27" t="s">
        <v>2</v>
      </c>
      <c r="E5" s="317"/>
      <c r="F5" s="317"/>
      <c r="G5" s="317"/>
      <c r="H5" s="27" t="s">
        <v>3</v>
      </c>
      <c r="I5" s="317"/>
      <c r="J5" s="317"/>
      <c r="K5" s="317"/>
    </row>
    <row r="6" spans="1:14" ht="6.75" customHeight="1" x14ac:dyDescent="0.25">
      <c r="A6" s="4"/>
      <c r="B6" s="21"/>
      <c r="C6" s="21"/>
      <c r="E6" s="21"/>
      <c r="F6" s="21"/>
      <c r="G6" s="21"/>
      <c r="I6" s="21"/>
      <c r="J6" s="21"/>
      <c r="K6" s="21"/>
    </row>
    <row r="7" spans="1:14" ht="17.25" customHeight="1" x14ac:dyDescent="0.25">
      <c r="A7" s="27" t="s">
        <v>267</v>
      </c>
      <c r="B7" s="317"/>
      <c r="C7" s="317"/>
      <c r="D7" s="27" t="s">
        <v>265</v>
      </c>
      <c r="E7" s="83"/>
      <c r="F7" s="39" t="str">
        <f>IF(E7="Revision","Revisions require a comment in section 3 explaining the change","")</f>
        <v/>
      </c>
      <c r="H7" s="27" t="s">
        <v>440</v>
      </c>
      <c r="I7" s="325"/>
      <c r="J7" s="325"/>
    </row>
    <row r="8" spans="1:14" ht="6" customHeight="1" x14ac:dyDescent="0.25"/>
    <row r="9" spans="1:14" ht="20.25" customHeight="1" x14ac:dyDescent="0.25">
      <c r="A9" s="37" t="s">
        <v>4</v>
      </c>
    </row>
    <row r="10" spans="1:14" s="37" customFormat="1" ht="20.25" customHeight="1" x14ac:dyDescent="0.25">
      <c r="B10" s="37" t="s">
        <v>44</v>
      </c>
    </row>
    <row r="11" spans="1:14" s="37" customFormat="1" ht="19.5" customHeight="1" x14ac:dyDescent="0.25">
      <c r="B11" s="37" t="s">
        <v>122</v>
      </c>
    </row>
    <row r="12" spans="1:14" s="37" customFormat="1" ht="15.75" customHeight="1" x14ac:dyDescent="0.25">
      <c r="B12" s="37" t="s">
        <v>121</v>
      </c>
      <c r="C12" s="178" t="s">
        <v>400</v>
      </c>
      <c r="D12" s="61">
        <v>0.52629999999999999</v>
      </c>
      <c r="E12" s="178" t="s">
        <v>401</v>
      </c>
      <c r="F12" s="61">
        <v>1.2104999999999999</v>
      </c>
      <c r="G12" s="178" t="s">
        <v>402</v>
      </c>
      <c r="H12" s="61">
        <v>1.1578999999999999</v>
      </c>
      <c r="J12" s="178" t="s">
        <v>403</v>
      </c>
      <c r="K12" s="61">
        <v>0.78949999999999998</v>
      </c>
      <c r="L12" s="183"/>
    </row>
    <row r="13" spans="1:14" s="37" customFormat="1" ht="18" customHeight="1" x14ac:dyDescent="0.25">
      <c r="B13" s="177" t="s">
        <v>236</v>
      </c>
    </row>
    <row r="14" spans="1:14" s="37" customFormat="1" ht="16.5" customHeight="1" x14ac:dyDescent="0.25">
      <c r="B14" s="318" t="s">
        <v>43</v>
      </c>
      <c r="C14" s="318"/>
      <c r="D14" s="318"/>
      <c r="E14" s="318"/>
      <c r="F14" s="318"/>
      <c r="G14" s="318"/>
      <c r="H14" s="318"/>
      <c r="I14" s="318"/>
      <c r="J14" s="318"/>
      <c r="K14" s="318"/>
      <c r="L14" s="318"/>
      <c r="M14" s="318"/>
      <c r="N14" s="318"/>
    </row>
    <row r="15" spans="1:14" ht="7.5" customHeight="1" x14ac:dyDescent="0.25"/>
    <row r="16" spans="1:14" x14ac:dyDescent="0.25">
      <c r="A16" s="158" t="s">
        <v>5</v>
      </c>
      <c r="B16" s="157" t="s">
        <v>6</v>
      </c>
      <c r="C16" s="157"/>
      <c r="D16" s="159" t="s">
        <v>7</v>
      </c>
      <c r="E16" s="157"/>
      <c r="F16" s="157"/>
      <c r="G16" s="157"/>
      <c r="H16" s="157"/>
      <c r="I16" s="157"/>
      <c r="J16" s="157"/>
      <c r="K16" s="157"/>
      <c r="L16" s="157"/>
      <c r="M16" s="157"/>
      <c r="N16" s="157"/>
    </row>
    <row r="17" spans="1:15" ht="7.5" customHeight="1" x14ac:dyDescent="0.25"/>
    <row r="18" spans="1:15" x14ac:dyDescent="0.25">
      <c r="B18" s="4" t="s">
        <v>8</v>
      </c>
      <c r="C18" s="82"/>
      <c r="E18" t="s">
        <v>9</v>
      </c>
      <c r="F18" s="32">
        <f>C18/9</f>
        <v>0</v>
      </c>
    </row>
    <row r="19" spans="1:15" ht="7.5" customHeight="1" x14ac:dyDescent="0.25"/>
    <row r="20" spans="1:15" ht="15.75" x14ac:dyDescent="0.25">
      <c r="B20" s="190" t="s">
        <v>433</v>
      </c>
      <c r="E20" s="83"/>
    </row>
    <row r="21" spans="1:15" ht="7.5" customHeight="1" x14ac:dyDescent="0.25"/>
    <row r="22" spans="1:15" x14ac:dyDescent="0.25">
      <c r="B22" t="s">
        <v>10</v>
      </c>
      <c r="D22" s="82"/>
      <c r="F22" t="s">
        <v>9</v>
      </c>
      <c r="G22" s="32">
        <f>D22/9</f>
        <v>0</v>
      </c>
    </row>
    <row r="23" spans="1:15" ht="15" customHeight="1" x14ac:dyDescent="0.25">
      <c r="B23" s="127" t="s">
        <v>239</v>
      </c>
    </row>
    <row r="24" spans="1:15" ht="15.75" x14ac:dyDescent="0.25">
      <c r="B24" t="s">
        <v>404</v>
      </c>
      <c r="E24" s="83"/>
      <c r="F24" s="35" t="str">
        <f>IF(E24="Yes", "PLEASE USE NSTP SUMMER SALARY FORM","")</f>
        <v/>
      </c>
    </row>
    <row r="25" spans="1:15" ht="7.5" customHeight="1" x14ac:dyDescent="0.25"/>
    <row r="26" spans="1:15" s="1" customFormat="1" ht="63" customHeight="1" x14ac:dyDescent="0.25">
      <c r="A26" s="12" t="s">
        <v>12</v>
      </c>
      <c r="B26" s="13" t="s">
        <v>411</v>
      </c>
      <c r="C26" s="13" t="s">
        <v>13</v>
      </c>
      <c r="D26" s="13" t="s">
        <v>50</v>
      </c>
      <c r="E26" s="13" t="s">
        <v>14</v>
      </c>
      <c r="F26" s="13" t="s">
        <v>15</v>
      </c>
      <c r="G26" s="13" t="s">
        <v>262</v>
      </c>
      <c r="H26" s="13" t="s">
        <v>45</v>
      </c>
      <c r="I26" s="206"/>
      <c r="J26" s="13" t="s">
        <v>46</v>
      </c>
      <c r="K26" s="13" t="s">
        <v>468</v>
      </c>
      <c r="L26" s="13" t="s">
        <v>16</v>
      </c>
      <c r="M26" s="13" t="s">
        <v>405</v>
      </c>
      <c r="N26" s="13" t="s">
        <v>17</v>
      </c>
      <c r="O26" s="14" t="s">
        <v>397</v>
      </c>
    </row>
    <row r="27" spans="1:15" ht="30" customHeight="1" x14ac:dyDescent="0.25">
      <c r="A27" s="84"/>
      <c r="B27" s="307"/>
      <c r="C27" s="86"/>
      <c r="D27" s="85"/>
      <c r="E27" s="87"/>
      <c r="F27" s="85"/>
      <c r="G27" s="152">
        <f>IF(D27="NIH",Lookup!$M$2,IF(D27="NSF",Lookup!$L$16,IF(D27="NIFA",Lookup!$M$22,IF(D27="Other",$C$39,0))))</f>
        <v>0</v>
      </c>
      <c r="H27" s="95"/>
      <c r="J27" s="45">
        <f t="shared" ref="J27:J36" si="0">IF(A27="June",$F$18*C27,$G$22*C27)</f>
        <v>0</v>
      </c>
      <c r="K27" s="275">
        <f>J27*0.079</f>
        <v>0</v>
      </c>
      <c r="L27" s="46" t="str">
        <f>IF(AND(G27&gt;0,J27&gt;(G27*C27)),"Yes","No")</f>
        <v>No</v>
      </c>
      <c r="M27" s="47">
        <f t="shared" ref="M27:M36" si="1">IF(L27="Yes",J27-N27,J27)</f>
        <v>0</v>
      </c>
      <c r="N27" s="42">
        <f t="shared" ref="N27:N36" si="2">IF(L27="Yes",J27-(G27*C27),0)</f>
        <v>0</v>
      </c>
      <c r="O27" s="301"/>
    </row>
    <row r="28" spans="1:15" ht="30" customHeight="1" x14ac:dyDescent="0.25">
      <c r="A28" s="88"/>
      <c r="B28" s="308"/>
      <c r="C28" s="90"/>
      <c r="D28" s="89"/>
      <c r="E28" s="91"/>
      <c r="F28" s="150"/>
      <c r="G28" s="43">
        <f>IF(D28="NIH",Lookup!$M$2,IF(D28="NSF",Lookup!$L$16,IF(D28="NIFA",Lookup!$M$22,IF(D28="Other",$C$39,0))))</f>
        <v>0</v>
      </c>
      <c r="H28" s="151"/>
      <c r="J28" s="48">
        <f t="shared" si="0"/>
        <v>0</v>
      </c>
      <c r="K28" s="276">
        <f>J28*0.079</f>
        <v>0</v>
      </c>
      <c r="L28" s="49" t="str">
        <f>IF(AND(G28&gt;0,J28&gt;(G28*C28)),"Yes","No")</f>
        <v>No</v>
      </c>
      <c r="M28" s="50">
        <f t="shared" si="1"/>
        <v>0</v>
      </c>
      <c r="N28" s="43">
        <f t="shared" si="2"/>
        <v>0</v>
      </c>
      <c r="O28" s="302"/>
    </row>
    <row r="29" spans="1:15" ht="30" customHeight="1" x14ac:dyDescent="0.25">
      <c r="A29" s="88"/>
      <c r="B29" s="308"/>
      <c r="C29" s="90"/>
      <c r="D29" s="89"/>
      <c r="E29" s="91"/>
      <c r="F29" s="150"/>
      <c r="G29" s="43">
        <f>IF(D29="NIH",Lookup!$M$2,IF(D29="NSF",Lookup!$L$16,IF(D29="NIFA",Lookup!$M$22,IF(D29="Other",$C$39,0))))</f>
        <v>0</v>
      </c>
      <c r="H29" s="151"/>
      <c r="J29" s="48">
        <f t="shared" si="0"/>
        <v>0</v>
      </c>
      <c r="K29" s="276">
        <f t="shared" ref="K29:K36" si="3">J29*0.079</f>
        <v>0</v>
      </c>
      <c r="L29" s="49" t="str">
        <f t="shared" ref="L29:L36" si="4">IF(AND(G29&gt;0,J29&gt;(G29*C29)),"Yes","No")</f>
        <v>No</v>
      </c>
      <c r="M29" s="50">
        <f t="shared" si="1"/>
        <v>0</v>
      </c>
      <c r="N29" s="43">
        <f t="shared" si="2"/>
        <v>0</v>
      </c>
      <c r="O29" s="302"/>
    </row>
    <row r="30" spans="1:15" ht="30" customHeight="1" x14ac:dyDescent="0.25">
      <c r="A30" s="88"/>
      <c r="B30" s="308"/>
      <c r="C30" s="90"/>
      <c r="D30" s="89"/>
      <c r="E30" s="91"/>
      <c r="F30" s="150"/>
      <c r="G30" s="43">
        <f>IF(D30="NIH",Lookup!$M$2,IF(D30="NSF",Lookup!$L$16,IF(D30="NIFA",Lookup!$M$22,IF(D30="Other",$C$39,0))))</f>
        <v>0</v>
      </c>
      <c r="H30" s="151"/>
      <c r="J30" s="48">
        <f t="shared" si="0"/>
        <v>0</v>
      </c>
      <c r="K30" s="276">
        <f t="shared" si="3"/>
        <v>0</v>
      </c>
      <c r="L30" s="49" t="str">
        <f t="shared" si="4"/>
        <v>No</v>
      </c>
      <c r="M30" s="50">
        <f t="shared" si="1"/>
        <v>0</v>
      </c>
      <c r="N30" s="43">
        <f t="shared" si="2"/>
        <v>0</v>
      </c>
      <c r="O30" s="302"/>
    </row>
    <row r="31" spans="1:15" ht="30" customHeight="1" x14ac:dyDescent="0.25">
      <c r="A31" s="88"/>
      <c r="B31" s="308"/>
      <c r="C31" s="90"/>
      <c r="D31" s="89"/>
      <c r="E31" s="91"/>
      <c r="F31" s="150"/>
      <c r="G31" s="43">
        <f>IF(D31="NIH",Lookup!$M$2,IF(D31="NSF",Lookup!$L$16,IF(D31="NIFA",Lookup!$M$22,IF(D31="Other",$C$39,0))))</f>
        <v>0</v>
      </c>
      <c r="H31" s="151"/>
      <c r="J31" s="48">
        <f t="shared" si="0"/>
        <v>0</v>
      </c>
      <c r="K31" s="276">
        <f t="shared" si="3"/>
        <v>0</v>
      </c>
      <c r="L31" s="49" t="str">
        <f t="shared" si="4"/>
        <v>No</v>
      </c>
      <c r="M31" s="50">
        <f t="shared" si="1"/>
        <v>0</v>
      </c>
      <c r="N31" s="43">
        <f t="shared" si="2"/>
        <v>0</v>
      </c>
      <c r="O31" s="302"/>
    </row>
    <row r="32" spans="1:15" ht="30" customHeight="1" x14ac:dyDescent="0.25">
      <c r="A32" s="88"/>
      <c r="B32" s="308"/>
      <c r="C32" s="90"/>
      <c r="D32" s="89"/>
      <c r="E32" s="91"/>
      <c r="F32" s="150"/>
      <c r="G32" s="43">
        <f>IF(D32="NIH",Lookup!$M$2,IF(D32="NSF",Lookup!$L$16,IF(D32="NIFA",Lookup!$M$22,IF(D32="Other",$C$39,0))))</f>
        <v>0</v>
      </c>
      <c r="H32" s="151"/>
      <c r="J32" s="48">
        <f t="shared" si="0"/>
        <v>0</v>
      </c>
      <c r="K32" s="276">
        <f t="shared" si="3"/>
        <v>0</v>
      </c>
      <c r="L32" s="49" t="str">
        <f t="shared" si="4"/>
        <v>No</v>
      </c>
      <c r="M32" s="50">
        <f t="shared" si="1"/>
        <v>0</v>
      </c>
      <c r="N32" s="43">
        <f t="shared" si="2"/>
        <v>0</v>
      </c>
      <c r="O32" s="302"/>
    </row>
    <row r="33" spans="1:15" ht="30" customHeight="1" x14ac:dyDescent="0.25">
      <c r="A33" s="88"/>
      <c r="B33" s="308"/>
      <c r="C33" s="90"/>
      <c r="D33" s="89"/>
      <c r="E33" s="89"/>
      <c r="F33" s="150"/>
      <c r="G33" s="43">
        <f>IF(D33="NIH",Lookup!$M$2,IF(D33="NSF",Lookup!$L$16,IF(D33="NIFA",Lookup!$M$22,IF(D33="Other",$C$39,0))))</f>
        <v>0</v>
      </c>
      <c r="H33" s="151"/>
      <c r="J33" s="48">
        <f t="shared" si="0"/>
        <v>0</v>
      </c>
      <c r="K33" s="276">
        <f t="shared" si="3"/>
        <v>0</v>
      </c>
      <c r="L33" s="49" t="str">
        <f t="shared" si="4"/>
        <v>No</v>
      </c>
      <c r="M33" s="50">
        <f t="shared" si="1"/>
        <v>0</v>
      </c>
      <c r="N33" s="43">
        <f t="shared" si="2"/>
        <v>0</v>
      </c>
      <c r="O33" s="302"/>
    </row>
    <row r="34" spans="1:15" ht="30" customHeight="1" x14ac:dyDescent="0.25">
      <c r="A34" s="88"/>
      <c r="B34" s="308"/>
      <c r="C34" s="90"/>
      <c r="D34" s="89"/>
      <c r="E34" s="89"/>
      <c r="F34" s="150"/>
      <c r="G34" s="43">
        <f>IF(D34="NIH",Lookup!$M$2,IF(D34="NSF",Lookup!$L$16,IF(D34="NIFA",Lookup!$M$22,IF(D34="Other",$C$39,0))))</f>
        <v>0</v>
      </c>
      <c r="H34" s="151"/>
      <c r="J34" s="48">
        <f t="shared" si="0"/>
        <v>0</v>
      </c>
      <c r="K34" s="276">
        <f t="shared" si="3"/>
        <v>0</v>
      </c>
      <c r="L34" s="49" t="str">
        <f t="shared" si="4"/>
        <v>No</v>
      </c>
      <c r="M34" s="50">
        <f t="shared" si="1"/>
        <v>0</v>
      </c>
      <c r="N34" s="43">
        <f t="shared" si="2"/>
        <v>0</v>
      </c>
      <c r="O34" s="302"/>
    </row>
    <row r="35" spans="1:15" ht="30" customHeight="1" x14ac:dyDescent="0.25">
      <c r="A35" s="88"/>
      <c r="B35" s="308"/>
      <c r="C35" s="90"/>
      <c r="D35" s="89"/>
      <c r="E35" s="89"/>
      <c r="F35" s="150"/>
      <c r="G35" s="43">
        <f>IF(D35="NIH",Lookup!$M$2,IF(D35="NSF",Lookup!$L$16,IF(D35="NIFA",Lookup!$M$22,IF(D35="Other",$C$39,0))))</f>
        <v>0</v>
      </c>
      <c r="H35" s="151"/>
      <c r="J35" s="48">
        <f t="shared" si="0"/>
        <v>0</v>
      </c>
      <c r="K35" s="276">
        <f t="shared" si="3"/>
        <v>0</v>
      </c>
      <c r="L35" s="49" t="str">
        <f t="shared" si="4"/>
        <v>No</v>
      </c>
      <c r="M35" s="50">
        <f t="shared" si="1"/>
        <v>0</v>
      </c>
      <c r="N35" s="43">
        <f t="shared" si="2"/>
        <v>0</v>
      </c>
      <c r="O35" s="302"/>
    </row>
    <row r="36" spans="1:15" ht="30" customHeight="1" x14ac:dyDescent="0.25">
      <c r="A36" s="92"/>
      <c r="B36" s="309"/>
      <c r="C36" s="94"/>
      <c r="D36" s="93"/>
      <c r="E36" s="93"/>
      <c r="F36" s="93"/>
      <c r="G36" s="43">
        <f>IF(D36="NIH",Lookup!$M$2,IF(D36="NSF",Lookup!$L$16,IF(D36="NIFA",Lookup!$M$22,IF(D36="Other",$C$39,0))))</f>
        <v>0</v>
      </c>
      <c r="H36" s="96"/>
      <c r="I36" s="10"/>
      <c r="J36" s="51">
        <f t="shared" si="0"/>
        <v>0</v>
      </c>
      <c r="K36" s="44">
        <f t="shared" si="3"/>
        <v>0</v>
      </c>
      <c r="L36" s="52" t="str">
        <f t="shared" si="4"/>
        <v>No</v>
      </c>
      <c r="M36" s="53">
        <f t="shared" si="1"/>
        <v>0</v>
      </c>
      <c r="N36" s="44">
        <f t="shared" si="2"/>
        <v>0</v>
      </c>
      <c r="O36" s="303"/>
    </row>
    <row r="37" spans="1:15" s="2" customFormat="1" ht="18" customHeight="1" x14ac:dyDescent="0.25">
      <c r="A37" s="280" t="s">
        <v>227</v>
      </c>
      <c r="B37" s="280"/>
      <c r="C37" s="288">
        <f>SUM(C27:C36)</f>
        <v>0</v>
      </c>
      <c r="D37" s="280"/>
      <c r="E37" s="280"/>
      <c r="F37" s="280"/>
      <c r="G37" s="281"/>
      <c r="H37" s="280"/>
      <c r="I37" s="282"/>
      <c r="J37" s="281">
        <f>SUM(J27:J36)</f>
        <v>0</v>
      </c>
      <c r="K37" s="281">
        <f>SUM(K27:K36)</f>
        <v>0</v>
      </c>
      <c r="L37" s="282"/>
      <c r="M37" s="281">
        <f>SUM(M27:M36)</f>
        <v>0</v>
      </c>
      <c r="N37" s="281">
        <f>SUM(N27:N36)</f>
        <v>0</v>
      </c>
      <c r="O37" s="280"/>
    </row>
    <row r="38" spans="1:15" ht="30" customHeight="1" x14ac:dyDescent="0.25">
      <c r="A38" s="319" t="s">
        <v>406</v>
      </c>
      <c r="B38" s="319"/>
      <c r="C38" s="319"/>
      <c r="D38" s="319"/>
      <c r="E38" s="319"/>
      <c r="F38" s="319"/>
      <c r="G38" s="319"/>
      <c r="H38" s="319"/>
      <c r="I38" s="319"/>
      <c r="J38" s="319"/>
      <c r="K38" s="319"/>
      <c r="L38" s="319"/>
      <c r="M38" s="319"/>
      <c r="N38" s="319"/>
    </row>
    <row r="39" spans="1:15" x14ac:dyDescent="0.25">
      <c r="A39" s="26" t="s">
        <v>52</v>
      </c>
      <c r="B39" s="24"/>
      <c r="C39" s="82">
        <v>0</v>
      </c>
    </row>
    <row r="40" spans="1:15" ht="7.5" customHeight="1" x14ac:dyDescent="0.25"/>
    <row r="41" spans="1:15" x14ac:dyDescent="0.25">
      <c r="B41" t="s">
        <v>18</v>
      </c>
      <c r="C41" s="83"/>
      <c r="D41" s="4" t="s">
        <v>438</v>
      </c>
      <c r="E41" t="s">
        <v>439</v>
      </c>
      <c r="G41" s="82"/>
      <c r="J41" s="4" t="s">
        <v>466</v>
      </c>
      <c r="K41" s="34" t="str">
        <f>IFERROR(G41/G22,"")</f>
        <v/>
      </c>
    </row>
    <row r="42" spans="1:15" ht="7.5" customHeight="1" x14ac:dyDescent="0.25"/>
    <row r="43" spans="1:15" x14ac:dyDescent="0.25">
      <c r="B43" t="s">
        <v>407</v>
      </c>
      <c r="J43" s="83"/>
      <c r="L43" s="3"/>
    </row>
    <row r="44" spans="1:15" ht="7.5" customHeight="1" x14ac:dyDescent="0.25"/>
    <row r="45" spans="1:15" x14ac:dyDescent="0.25">
      <c r="B45" t="s">
        <v>19</v>
      </c>
      <c r="E45" s="83"/>
    </row>
    <row r="46" spans="1:15" ht="7.5" customHeight="1" x14ac:dyDescent="0.25"/>
    <row r="47" spans="1:15" ht="15.75" customHeight="1" x14ac:dyDescent="0.25">
      <c r="B47" t="s">
        <v>443</v>
      </c>
    </row>
    <row r="48" spans="1:15" ht="7.5" customHeight="1" x14ac:dyDescent="0.25"/>
    <row r="49" spans="1:14" ht="21.75" customHeight="1" x14ac:dyDescent="0.25">
      <c r="A49" t="s">
        <v>20</v>
      </c>
      <c r="C49" s="325"/>
      <c r="D49" s="325"/>
      <c r="E49" s="325"/>
      <c r="F49" s="325"/>
      <c r="G49" s="325"/>
      <c r="I49" s="327"/>
      <c r="J49" s="327"/>
    </row>
    <row r="50" spans="1:14" ht="15" customHeight="1" x14ac:dyDescent="0.25">
      <c r="C50" s="22"/>
      <c r="D50" s="29" t="s">
        <v>308</v>
      </c>
      <c r="J50" s="29" t="s">
        <v>67</v>
      </c>
    </row>
    <row r="51" spans="1:14" ht="15" customHeight="1" x14ac:dyDescent="0.25">
      <c r="C51" s="23" t="s">
        <v>313</v>
      </c>
      <c r="D51" s="29"/>
      <c r="J51" s="29"/>
    </row>
    <row r="52" spans="1:14" ht="10.5" customHeight="1" x14ac:dyDescent="0.25">
      <c r="C52" s="22"/>
    </row>
    <row r="53" spans="1:14" x14ac:dyDescent="0.25">
      <c r="A53" s="23" t="s">
        <v>58</v>
      </c>
    </row>
    <row r="55" spans="1:14" x14ac:dyDescent="0.25">
      <c r="A55" s="158" t="s">
        <v>21</v>
      </c>
      <c r="B55" s="157" t="s">
        <v>109</v>
      </c>
      <c r="C55" s="157"/>
      <c r="D55" s="157"/>
      <c r="E55" s="157"/>
      <c r="F55" s="157"/>
      <c r="G55" s="157"/>
      <c r="H55" s="157"/>
      <c r="I55" s="157"/>
      <c r="J55" s="157"/>
      <c r="K55" s="157"/>
      <c r="L55" s="157"/>
      <c r="M55" s="157"/>
      <c r="N55" s="157"/>
    </row>
    <row r="56" spans="1:14" ht="7.5" customHeight="1" x14ac:dyDescent="0.25"/>
    <row r="57" spans="1:14" x14ac:dyDescent="0.25">
      <c r="A57" s="147" t="s">
        <v>115</v>
      </c>
      <c r="B57" s="148"/>
      <c r="C57" s="148"/>
      <c r="D57" s="148"/>
      <c r="E57" s="148"/>
      <c r="F57" s="148"/>
      <c r="G57" s="148"/>
      <c r="H57" s="148"/>
      <c r="I57" s="148"/>
      <c r="J57" s="148"/>
      <c r="K57" s="149"/>
    </row>
    <row r="58" spans="1:14" x14ac:dyDescent="0.25">
      <c r="A58" s="7"/>
      <c r="B58" t="s">
        <v>61</v>
      </c>
      <c r="C58" s="4" t="s">
        <v>62</v>
      </c>
      <c r="D58" s="34">
        <f>SUMIF(D27:D36,"NSF",C27:C36)</f>
        <v>0</v>
      </c>
      <c r="F58" s="4" t="s">
        <v>63</v>
      </c>
      <c r="G58" s="78">
        <f>SUMIF(D27:D36,"NSF",J27:J36)</f>
        <v>0</v>
      </c>
      <c r="K58" s="8"/>
    </row>
    <row r="59" spans="1:14" ht="7.5" customHeight="1" x14ac:dyDescent="0.25">
      <c r="A59" s="7"/>
      <c r="K59" s="8"/>
    </row>
    <row r="60" spans="1:14" x14ac:dyDescent="0.25">
      <c r="A60" s="7"/>
      <c r="B60" t="s">
        <v>59</v>
      </c>
      <c r="I60" s="325"/>
      <c r="J60" s="325"/>
      <c r="K60" s="8"/>
    </row>
    <row r="61" spans="1:14" ht="7.5" customHeight="1" x14ac:dyDescent="0.25">
      <c r="A61" s="7"/>
      <c r="K61" s="8"/>
    </row>
    <row r="62" spans="1:14" x14ac:dyDescent="0.25">
      <c r="A62" s="7"/>
      <c r="B62" t="s">
        <v>64</v>
      </c>
      <c r="F62" s="4" t="s">
        <v>104</v>
      </c>
      <c r="G62" s="82">
        <v>0</v>
      </c>
      <c r="J62" s="4" t="s">
        <v>105</v>
      </c>
      <c r="K62" s="97"/>
    </row>
    <row r="63" spans="1:14" ht="7.5" customHeight="1" x14ac:dyDescent="0.25">
      <c r="A63" s="7"/>
      <c r="K63" s="8"/>
    </row>
    <row r="64" spans="1:14" x14ac:dyDescent="0.25">
      <c r="A64" s="7"/>
      <c r="F64" s="4" t="s">
        <v>107</v>
      </c>
      <c r="G64" s="34">
        <f>G58+G62</f>
        <v>0</v>
      </c>
      <c r="J64" s="4" t="s">
        <v>106</v>
      </c>
      <c r="K64" s="77">
        <f>K62+D58</f>
        <v>0</v>
      </c>
      <c r="M64" s="36"/>
    </row>
    <row r="65" spans="1:11" x14ac:dyDescent="0.25">
      <c r="A65" s="7"/>
      <c r="K65" s="8"/>
    </row>
    <row r="66" spans="1:11" x14ac:dyDescent="0.25">
      <c r="A66" s="7"/>
      <c r="B66" t="s">
        <v>108</v>
      </c>
      <c r="G66" s="64" t="str">
        <f>IF(OR(K64&gt;2,G64&gt;Lookup!L16+0.01),"YES, OVER CAP","No")</f>
        <v>No</v>
      </c>
      <c r="K66" s="8"/>
    </row>
    <row r="67" spans="1:11" x14ac:dyDescent="0.25">
      <c r="A67" s="9"/>
      <c r="B67" s="10" t="s">
        <v>60</v>
      </c>
      <c r="C67" s="10"/>
      <c r="D67" s="10"/>
      <c r="E67" s="10"/>
      <c r="F67" s="10"/>
      <c r="G67" s="10"/>
      <c r="H67" s="10"/>
      <c r="I67" s="10"/>
      <c r="J67" s="10"/>
      <c r="K67" s="11"/>
    </row>
    <row r="68" spans="1:11" ht="9.75" customHeight="1" x14ac:dyDescent="0.25"/>
    <row r="69" spans="1:11" x14ac:dyDescent="0.25">
      <c r="A69" s="147" t="s">
        <v>116</v>
      </c>
      <c r="B69" s="148"/>
      <c r="C69" s="148"/>
      <c r="D69" s="148"/>
      <c r="E69" s="148"/>
      <c r="F69" s="148"/>
      <c r="G69" s="149"/>
    </row>
    <row r="70" spans="1:11" x14ac:dyDescent="0.25">
      <c r="A70" s="7"/>
      <c r="C70" s="2" t="s">
        <v>11</v>
      </c>
      <c r="D70" s="2" t="s">
        <v>110</v>
      </c>
      <c r="E70" s="2" t="s">
        <v>112</v>
      </c>
      <c r="F70" s="2" t="s">
        <v>111</v>
      </c>
      <c r="G70" s="57" t="s">
        <v>113</v>
      </c>
    </row>
    <row r="71" spans="1:11" x14ac:dyDescent="0.25">
      <c r="A71" s="7"/>
      <c r="B71" s="157" t="s">
        <v>114</v>
      </c>
      <c r="C71" t="s">
        <v>39</v>
      </c>
      <c r="D71" s="17">
        <f>SUMIFS($M$27:$M$36,$A$27:$A$36,C71,$D$27:$D$36,"NIH")</f>
        <v>0</v>
      </c>
      <c r="E71" s="15">
        <f>SUMIFS($C$27:$C$36,$A$27:$A$36,C71,$D$27:$D$36,"NIH")</f>
        <v>0</v>
      </c>
      <c r="F71" s="17">
        <f>E71*$B$72</f>
        <v>0</v>
      </c>
      <c r="G71" s="40" t="str">
        <f>IF(F71&lt;D71,"OVER CAP",IF(E71&gt;1,"OVER CAP",""))</f>
        <v/>
      </c>
    </row>
    <row r="72" spans="1:11" x14ac:dyDescent="0.25">
      <c r="A72" s="7"/>
      <c r="B72" s="205">
        <f>Lookup!M2</f>
        <v>18491.666666666668</v>
      </c>
      <c r="C72" t="s">
        <v>40</v>
      </c>
      <c r="D72" s="17">
        <f>SUMIFS($M$27:$M$36,$A$27:$A$36,C72,$D$27:$D$36,"NIH")</f>
        <v>0</v>
      </c>
      <c r="E72" s="15">
        <f t="shared" ref="E72:E74" si="5">SUMIFS($C$27:$C$36,$A$27:$A$36,C72,$D$27:$D$36,"NIH")</f>
        <v>0</v>
      </c>
      <c r="F72" s="17">
        <f>E72*$B$72</f>
        <v>0</v>
      </c>
      <c r="G72" s="40" t="str">
        <f t="shared" ref="G72:G74" si="6">IF(F72&lt;D72,"OVER CAP",IF(E72&gt;1,"OVER CAP",""))</f>
        <v/>
      </c>
    </row>
    <row r="73" spans="1:11" x14ac:dyDescent="0.25">
      <c r="A73" s="7"/>
      <c r="C73" t="s">
        <v>41</v>
      </c>
      <c r="D73" s="17">
        <f>SUMIFS($M$27:$M$36,$A$27:$A$36,C73,$D$27:$D$36,"NIH")</f>
        <v>0</v>
      </c>
      <c r="E73" s="15">
        <f t="shared" si="5"/>
        <v>0</v>
      </c>
      <c r="F73" s="17">
        <f>E73*$B$72</f>
        <v>0</v>
      </c>
      <c r="G73" s="40" t="str">
        <f t="shared" si="6"/>
        <v/>
      </c>
    </row>
    <row r="74" spans="1:11" x14ac:dyDescent="0.25">
      <c r="A74" s="9"/>
      <c r="B74" s="10"/>
      <c r="C74" s="10" t="s">
        <v>42</v>
      </c>
      <c r="D74" s="5">
        <f>SUMIFS($M$27:$M$36,$A$27:$A$36,C74,$D$27:$D$36,"NIH")</f>
        <v>0</v>
      </c>
      <c r="E74" s="16">
        <f t="shared" si="5"/>
        <v>0</v>
      </c>
      <c r="F74" s="5">
        <f>E74*$B$72</f>
        <v>0</v>
      </c>
      <c r="G74" s="41" t="str">
        <f t="shared" si="6"/>
        <v/>
      </c>
    </row>
    <row r="75" spans="1:11" ht="6.75" customHeight="1" x14ac:dyDescent="0.25"/>
    <row r="76" spans="1:11" ht="15" customHeight="1" x14ac:dyDescent="0.25">
      <c r="A76" s="147" t="s">
        <v>258</v>
      </c>
      <c r="B76" s="148"/>
      <c r="C76" s="148"/>
      <c r="D76" s="148"/>
      <c r="E76" s="148"/>
      <c r="F76" s="148"/>
      <c r="G76" s="149"/>
    </row>
    <row r="77" spans="1:11" ht="15" customHeight="1" x14ac:dyDescent="0.25">
      <c r="A77" s="7"/>
      <c r="C77" s="2" t="s">
        <v>11</v>
      </c>
      <c r="D77" s="2" t="s">
        <v>110</v>
      </c>
      <c r="E77" s="2" t="s">
        <v>112</v>
      </c>
      <c r="F77" s="2" t="s">
        <v>111</v>
      </c>
      <c r="G77" s="57" t="s">
        <v>113</v>
      </c>
    </row>
    <row r="78" spans="1:11" ht="15" customHeight="1" x14ac:dyDescent="0.25">
      <c r="A78" s="7"/>
      <c r="B78" s="157" t="s">
        <v>259</v>
      </c>
      <c r="C78" t="s">
        <v>39</v>
      </c>
      <c r="D78" s="17">
        <f>SUMIFS($M$27:$M$36,$A$27:$A$36,C78,$D$27:$D$36,"NIFA")</f>
        <v>0</v>
      </c>
      <c r="E78" s="15">
        <f>SUMIFS($C$27:$C$36,$A$27:$A$36,C78,$D$27:$D$36,"NIFA")</f>
        <v>0</v>
      </c>
      <c r="F78" s="17">
        <f>E78*$B$79</f>
        <v>0</v>
      </c>
      <c r="G78" s="40" t="str">
        <f>IF(F78&lt;D78,"OVER CAP",IF(E78&gt;1,"OVER CAP",""))</f>
        <v/>
      </c>
    </row>
    <row r="79" spans="1:11" ht="15" customHeight="1" x14ac:dyDescent="0.25">
      <c r="A79" s="7"/>
      <c r="B79" s="205">
        <f>Lookup!M22</f>
        <v>15991.666666666666</v>
      </c>
      <c r="C79" t="s">
        <v>40</v>
      </c>
      <c r="D79" s="17">
        <f>SUMIFS($M$27:$M$36,$A$27:$A$36,C79,$D$27:$D$36,"NIFA")</f>
        <v>0</v>
      </c>
      <c r="E79" s="15">
        <f>SUMIFS($C$27:$C$36,$A$27:$A$36,C79,$D$27:$D$36,"NIFA")</f>
        <v>0</v>
      </c>
      <c r="F79" s="17">
        <f>E79*$B$79</f>
        <v>0</v>
      </c>
      <c r="G79" s="40" t="str">
        <f t="shared" ref="G79:G81" si="7">IF(F79&lt;D79,"OVER CAP",IF(E79&gt;1,"OVER CAP",""))</f>
        <v/>
      </c>
    </row>
    <row r="80" spans="1:11" ht="15" customHeight="1" x14ac:dyDescent="0.25">
      <c r="A80" s="7"/>
      <c r="C80" t="s">
        <v>41</v>
      </c>
      <c r="D80" s="17">
        <f>SUMIFS($M$27:$M$36,$A$27:$A$36,C80,$D$27:$D$36,"NIFA")</f>
        <v>0</v>
      </c>
      <c r="E80" s="15">
        <f>SUMIFS($C$27:$C$36,$A$27:$A$36,C80,$D$27:$D$36,"NIFA")</f>
        <v>0</v>
      </c>
      <c r="F80" s="17">
        <f>E80*$B$79</f>
        <v>0</v>
      </c>
      <c r="G80" s="40" t="str">
        <f t="shared" si="7"/>
        <v/>
      </c>
    </row>
    <row r="81" spans="1:14" ht="15" customHeight="1" x14ac:dyDescent="0.25">
      <c r="A81" s="9"/>
      <c r="B81" s="10"/>
      <c r="C81" s="10" t="s">
        <v>42</v>
      </c>
      <c r="D81" s="5">
        <f>SUMIFS($M$27:$M$36,$A$27:$A$36,C81,$D$27:$D$36,"NIFA")</f>
        <v>0</v>
      </c>
      <c r="E81" s="16">
        <f>SUMIFS($C$27:$C$36,$A$27:$A$36,C81,$D$27:$D$36,"NIFA")</f>
        <v>0</v>
      </c>
      <c r="F81" s="5">
        <f>E81*$B$79</f>
        <v>0</v>
      </c>
      <c r="G81" s="41" t="str">
        <f t="shared" si="7"/>
        <v/>
      </c>
    </row>
    <row r="82" spans="1:14" ht="6.75" customHeight="1" x14ac:dyDescent="0.25"/>
    <row r="83" spans="1:14" x14ac:dyDescent="0.25">
      <c r="A83" s="147" t="s">
        <v>117</v>
      </c>
      <c r="B83" s="148"/>
      <c r="C83" s="148"/>
      <c r="D83" s="148"/>
      <c r="E83" s="148"/>
      <c r="F83" s="148"/>
      <c r="G83" s="149"/>
    </row>
    <row r="84" spans="1:14" x14ac:dyDescent="0.25">
      <c r="A84" s="7"/>
      <c r="B84" t="s">
        <v>11</v>
      </c>
      <c r="C84" t="s">
        <v>118</v>
      </c>
      <c r="D84" t="s">
        <v>120</v>
      </c>
      <c r="E84" s="132" t="s">
        <v>247</v>
      </c>
      <c r="G84" s="8"/>
    </row>
    <row r="85" spans="1:14" x14ac:dyDescent="0.25">
      <c r="A85" s="7"/>
      <c r="B85" t="s">
        <v>39</v>
      </c>
      <c r="C85" s="15">
        <f>SUMIF($A$27:$A$36,B85,C27:$C$36)</f>
        <v>0</v>
      </c>
      <c r="D85" s="39" t="str">
        <f>IF(C85&gt;1,"OVER CAP","")</f>
        <v/>
      </c>
      <c r="E85" s="133" t="str">
        <f>IF(C85&gt;D12,"OVER CAP","")</f>
        <v/>
      </c>
      <c r="G85" s="8"/>
    </row>
    <row r="86" spans="1:14" x14ac:dyDescent="0.25">
      <c r="A86" s="7"/>
      <c r="B86" t="s">
        <v>40</v>
      </c>
      <c r="C86" s="15">
        <f>SUMIF($A$27:$A$36,B86,C27:$C$36)</f>
        <v>0</v>
      </c>
      <c r="D86" s="39" t="str">
        <f t="shared" ref="D86:D89" si="8">IF(C86&gt;1,"OVER CAP","")</f>
        <v/>
      </c>
      <c r="E86" s="133" t="str">
        <f>IF(C86&gt;F12,"OVER CAP","")</f>
        <v/>
      </c>
      <c r="G86" s="8"/>
    </row>
    <row r="87" spans="1:14" x14ac:dyDescent="0.25">
      <c r="A87" s="7"/>
      <c r="B87" t="s">
        <v>41</v>
      </c>
      <c r="C87" s="15">
        <f>SUMIF($A$27:$A$36,B87,C27:$C$36)</f>
        <v>0</v>
      </c>
      <c r="D87" s="39" t="str">
        <f>IF(C87&gt;1,"OVER CAP","")</f>
        <v/>
      </c>
      <c r="E87" s="133" t="str">
        <f>IF(C87&gt;H12,"OVER CAP","")</f>
        <v/>
      </c>
      <c r="G87" s="8"/>
    </row>
    <row r="88" spans="1:14" x14ac:dyDescent="0.25">
      <c r="A88" s="7"/>
      <c r="B88" t="s">
        <v>42</v>
      </c>
      <c r="C88" s="15">
        <f>SUMIF($A$27:$A$36,B88,C27:$C$36)</f>
        <v>0</v>
      </c>
      <c r="D88" s="39" t="str">
        <f>IF(C88&gt;1,"OVER CAP","")</f>
        <v/>
      </c>
      <c r="E88" s="133" t="str">
        <f>IF(C88&gt;K12,"OVER CAP","")</f>
        <v/>
      </c>
      <c r="G88" s="8"/>
    </row>
    <row r="89" spans="1:14" x14ac:dyDescent="0.25">
      <c r="A89" s="7"/>
      <c r="B89" t="s">
        <v>119</v>
      </c>
      <c r="C89" s="15">
        <f>SUMIF($A$27:$A$36,"June",C27:$C$36)+SUMIF($A$27:$A$36,"September",C27:$C$36)</f>
        <v>0</v>
      </c>
      <c r="D89" s="39" t="str">
        <f t="shared" si="8"/>
        <v/>
      </c>
      <c r="E89" s="133"/>
      <c r="G89" s="8"/>
    </row>
    <row r="90" spans="1:14" x14ac:dyDescent="0.25">
      <c r="B90" t="s">
        <v>465</v>
      </c>
      <c r="C90" s="15" t="e">
        <f>SUM(C27:C36)+K41</f>
        <v>#VALUE!</v>
      </c>
      <c r="D90" s="39" t="e">
        <f>IF(C90&gt;3,"OVER CAP","")</f>
        <v>#VALUE!</v>
      </c>
      <c r="E90" s="133"/>
      <c r="G90" s="8"/>
    </row>
    <row r="91" spans="1:14" x14ac:dyDescent="0.25">
      <c r="A91" s="130" t="s">
        <v>248</v>
      </c>
      <c r="C91" s="15"/>
      <c r="D91" s="39"/>
      <c r="E91" s="131"/>
      <c r="G91" s="8"/>
    </row>
    <row r="92" spans="1:14" x14ac:dyDescent="0.25">
      <c r="A92" s="9"/>
      <c r="B92" s="134" t="s">
        <v>246</v>
      </c>
      <c r="C92" s="135"/>
      <c r="D92" s="60"/>
      <c r="E92" s="10"/>
      <c r="F92" s="10"/>
      <c r="G92" s="11"/>
    </row>
    <row r="94" spans="1:14" x14ac:dyDescent="0.25">
      <c r="A94" s="158" t="s">
        <v>65</v>
      </c>
      <c r="B94" s="157" t="s">
        <v>280</v>
      </c>
      <c r="C94" s="157"/>
      <c r="D94" s="157"/>
      <c r="E94" s="157"/>
      <c r="F94" s="157"/>
      <c r="G94" s="157"/>
      <c r="H94" s="157"/>
      <c r="I94" s="157"/>
      <c r="J94" s="157"/>
      <c r="K94" s="157"/>
      <c r="L94" s="157"/>
      <c r="M94" s="157"/>
      <c r="N94" s="157"/>
    </row>
    <row r="95" spans="1:14" ht="8.25" customHeight="1" x14ac:dyDescent="0.25"/>
    <row r="96" spans="1:14" ht="52.5" customHeight="1" x14ac:dyDescent="0.25">
      <c r="A96" s="160" t="s">
        <v>266</v>
      </c>
      <c r="B96" s="320"/>
      <c r="C96" s="321"/>
      <c r="D96" s="321"/>
      <c r="E96" s="321"/>
      <c r="F96" s="321"/>
      <c r="G96" s="321"/>
      <c r="H96" s="321"/>
      <c r="I96" s="321"/>
      <c r="J96" s="321"/>
      <c r="K96" s="321"/>
      <c r="L96" s="321"/>
      <c r="M96" s="321"/>
      <c r="N96" s="322"/>
    </row>
    <row r="97" spans="1:14" ht="8.25" customHeight="1" x14ac:dyDescent="0.25"/>
    <row r="98" spans="1:14" ht="25.5" customHeight="1" x14ac:dyDescent="0.25">
      <c r="B98" s="4" t="s">
        <v>66</v>
      </c>
      <c r="C98" s="325"/>
      <c r="D98" s="325"/>
      <c r="E98" s="325"/>
      <c r="F98" s="325"/>
      <c r="G98" s="325"/>
      <c r="I98" s="327"/>
      <c r="J98" s="327"/>
    </row>
    <row r="99" spans="1:14" x14ac:dyDescent="0.25">
      <c r="D99" s="29" t="s">
        <v>281</v>
      </c>
      <c r="J99" s="29" t="s">
        <v>67</v>
      </c>
    </row>
    <row r="100" spans="1:14" x14ac:dyDescent="0.25">
      <c r="A100" s="30"/>
      <c r="B100" s="30"/>
      <c r="C100" s="30"/>
      <c r="D100" s="30"/>
      <c r="E100" s="30"/>
      <c r="F100" s="30"/>
      <c r="G100" s="30"/>
      <c r="H100" s="30"/>
      <c r="I100" s="30"/>
      <c r="J100" s="30"/>
      <c r="K100" s="30"/>
      <c r="L100" s="30"/>
      <c r="M100" s="30"/>
      <c r="N100" s="30"/>
    </row>
    <row r="102" spans="1:14" x14ac:dyDescent="0.25">
      <c r="A102" s="323" t="s">
        <v>68</v>
      </c>
      <c r="B102" s="323"/>
      <c r="C102" s="323"/>
      <c r="D102" s="323"/>
      <c r="E102" s="323"/>
      <c r="F102" s="323"/>
      <c r="G102" s="323"/>
      <c r="H102" s="323"/>
      <c r="I102" s="323"/>
      <c r="J102" s="323"/>
      <c r="K102" s="323"/>
      <c r="L102" s="323"/>
      <c r="M102" s="323"/>
      <c r="N102" s="323"/>
    </row>
    <row r="103" spans="1:14" x14ac:dyDescent="0.25">
      <c r="A103" t="s">
        <v>69</v>
      </c>
      <c r="B103" s="218">
        <f>I7</f>
        <v>0</v>
      </c>
      <c r="C103" t="s">
        <v>70</v>
      </c>
      <c r="D103" s="6" t="e">
        <f>VLOOKUP(I5,Lookup!$E$2:$G$23,3,0)</f>
        <v>#N/A</v>
      </c>
      <c r="E103" t="s">
        <v>71</v>
      </c>
      <c r="F103" s="98" t="s">
        <v>73</v>
      </c>
      <c r="H103" s="4" t="s">
        <v>72</v>
      </c>
      <c r="I103" s="314"/>
      <c r="J103" s="314"/>
      <c r="K103" s="4" t="s">
        <v>326</v>
      </c>
      <c r="L103" s="202">
        <f>VLOOKUP(F103,Lookup!$H$2:$I$23,2,0)</f>
        <v>500420</v>
      </c>
    </row>
    <row r="104" spans="1:14" ht="7.5" customHeight="1" x14ac:dyDescent="0.25"/>
    <row r="105" spans="1:14" x14ac:dyDescent="0.25">
      <c r="B105" s="4" t="s">
        <v>99</v>
      </c>
      <c r="C105" s="315"/>
      <c r="D105" s="315"/>
      <c r="E105" s="315"/>
      <c r="F105" s="315"/>
      <c r="G105" s="4" t="s">
        <v>67</v>
      </c>
      <c r="H105" s="316"/>
      <c r="I105" s="316"/>
      <c r="J105" s="316"/>
    </row>
    <row r="106" spans="1:14" ht="7.5" customHeight="1" x14ac:dyDescent="0.25"/>
    <row r="107" spans="1:14" x14ac:dyDescent="0.25">
      <c r="B107" s="4" t="s">
        <v>100</v>
      </c>
      <c r="C107" s="315"/>
      <c r="D107" s="315"/>
      <c r="E107" s="315"/>
      <c r="F107" s="315"/>
      <c r="G107" s="4" t="s">
        <v>67</v>
      </c>
      <c r="H107" s="316"/>
      <c r="I107" s="316"/>
      <c r="J107" s="316"/>
    </row>
    <row r="109" spans="1:14" ht="15" customHeight="1" x14ac:dyDescent="0.25">
      <c r="A109" s="2" t="s">
        <v>101</v>
      </c>
      <c r="B109" s="31" t="s">
        <v>102</v>
      </c>
      <c r="C109" s="328" t="s">
        <v>103</v>
      </c>
      <c r="D109" s="328"/>
      <c r="E109" s="328"/>
      <c r="F109" s="328"/>
      <c r="G109" s="328"/>
      <c r="H109" s="328"/>
      <c r="I109" s="328"/>
      <c r="J109" s="328"/>
      <c r="K109" s="328"/>
      <c r="L109" s="328"/>
      <c r="M109" s="328"/>
      <c r="N109" s="328"/>
    </row>
    <row r="110" spans="1:14" x14ac:dyDescent="0.25">
      <c r="B110" s="99"/>
      <c r="C110" s="326"/>
      <c r="D110" s="326"/>
      <c r="E110" s="326"/>
      <c r="F110" s="326"/>
      <c r="G110" s="326"/>
      <c r="H110" s="326"/>
      <c r="I110" s="326"/>
      <c r="J110" s="326"/>
      <c r="K110" s="326"/>
      <c r="L110" s="326"/>
      <c r="M110" s="326"/>
      <c r="N110" s="326"/>
    </row>
    <row r="111" spans="1:14" x14ac:dyDescent="0.25">
      <c r="B111" s="99"/>
      <c r="C111" s="326"/>
      <c r="D111" s="326"/>
      <c r="E111" s="326"/>
      <c r="F111" s="326"/>
      <c r="G111" s="326"/>
      <c r="H111" s="326"/>
      <c r="I111" s="326"/>
      <c r="J111" s="326"/>
      <c r="K111" s="326"/>
      <c r="L111" s="326"/>
      <c r="M111" s="326"/>
      <c r="N111" s="326"/>
    </row>
    <row r="112" spans="1:14" x14ac:dyDescent="0.25">
      <c r="B112" s="99"/>
      <c r="C112" s="326"/>
      <c r="D112" s="326"/>
      <c r="E112" s="326"/>
      <c r="F112" s="326"/>
      <c r="G112" s="326"/>
      <c r="H112" s="326"/>
      <c r="I112" s="326"/>
      <c r="J112" s="326"/>
      <c r="K112" s="326"/>
      <c r="L112" s="326"/>
      <c r="M112" s="326"/>
      <c r="N112" s="326"/>
    </row>
    <row r="113" spans="2:14" x14ac:dyDescent="0.25">
      <c r="B113" s="99"/>
      <c r="C113" s="326"/>
      <c r="D113" s="326"/>
      <c r="E113" s="326"/>
      <c r="F113" s="326"/>
      <c r="G113" s="326"/>
      <c r="H113" s="326"/>
      <c r="I113" s="326"/>
      <c r="J113" s="326"/>
      <c r="K113" s="326"/>
      <c r="L113" s="326"/>
      <c r="M113" s="326"/>
      <c r="N113" s="326"/>
    </row>
    <row r="114" spans="2:14" x14ac:dyDescent="0.25">
      <c r="B114" s="99"/>
      <c r="C114" s="326"/>
      <c r="D114" s="326"/>
      <c r="E114" s="326"/>
      <c r="F114" s="326"/>
      <c r="G114" s="326"/>
      <c r="H114" s="326"/>
      <c r="I114" s="326"/>
      <c r="J114" s="326"/>
      <c r="K114" s="326"/>
      <c r="L114" s="326"/>
      <c r="M114" s="326"/>
      <c r="N114" s="326"/>
    </row>
    <row r="115" spans="2:14" x14ac:dyDescent="0.25">
      <c r="B115" s="99"/>
      <c r="C115" s="326"/>
      <c r="D115" s="326"/>
      <c r="E115" s="326"/>
      <c r="F115" s="326"/>
      <c r="G115" s="326"/>
      <c r="H115" s="326"/>
      <c r="I115" s="326"/>
      <c r="J115" s="326"/>
      <c r="K115" s="326"/>
      <c r="L115" s="326"/>
      <c r="M115" s="326"/>
      <c r="N115" s="326"/>
    </row>
  </sheetData>
  <sheetProtection algorithmName="SHA-512" hashValue="KsZfMxNh6b25cbkrFrZejCzV1ElIDGUFnFSfPpSeQ6MVCCNVNMOUqxe1LHZDuYg+hhwwcZO73tHFmOIhbHVr+g==" saltValue="WM5hT7Mtjcwj1ps5yEheiw==" spinCount="100000" sheet="1" objects="1" scenarios="1"/>
  <mergeCells count="29">
    <mergeCell ref="C115:N115"/>
    <mergeCell ref="C114:N114"/>
    <mergeCell ref="C113:N113"/>
    <mergeCell ref="C112:N112"/>
    <mergeCell ref="C49:G49"/>
    <mergeCell ref="I49:J49"/>
    <mergeCell ref="C98:G98"/>
    <mergeCell ref="I98:J98"/>
    <mergeCell ref="I60:J60"/>
    <mergeCell ref="C111:N111"/>
    <mergeCell ref="C110:N110"/>
    <mergeCell ref="C109:N109"/>
    <mergeCell ref="C107:F107"/>
    <mergeCell ref="H107:J107"/>
    <mergeCell ref="A1:N1"/>
    <mergeCell ref="A2:N2"/>
    <mergeCell ref="I103:J103"/>
    <mergeCell ref="C105:F105"/>
    <mergeCell ref="H105:J105"/>
    <mergeCell ref="I5:K5"/>
    <mergeCell ref="B5:C5"/>
    <mergeCell ref="E5:G5"/>
    <mergeCell ref="B7:C7"/>
    <mergeCell ref="B14:N14"/>
    <mergeCell ref="A38:N38"/>
    <mergeCell ref="B96:N96"/>
    <mergeCell ref="A102:N102"/>
    <mergeCell ref="A3:N3"/>
    <mergeCell ref="I7:J7"/>
  </mergeCells>
  <pageMargins left="0.5" right="0.5" top="0.5" bottom="0.5" header="0.5" footer="0.5"/>
  <pageSetup scale="22" orientation="portrait" horizontalDpi="4294967295" verticalDpi="4294967295"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0000000}">
          <x14:formula1>
            <xm:f>Lookup!$A$1:$A$2</xm:f>
          </x14:formula1>
          <xm:sqref>E20 E24 H27:H36 I103:J103 C41 E45 I60:J60 F27:F36</xm:sqref>
        </x14:dataValidation>
        <x14:dataValidation type="list" allowBlank="1" showInputMessage="1" showErrorMessage="1" xr:uid="{00000000-0002-0000-0100-000001000000}">
          <x14:formula1>
            <xm:f>Lookup!$A$5:$A$8</xm:f>
          </x14:formula1>
          <xm:sqref>A27:A36</xm:sqref>
        </x14:dataValidation>
        <x14:dataValidation type="list" allowBlank="1" showInputMessage="1" showErrorMessage="1" xr:uid="{00000000-0002-0000-0100-000002000000}">
          <x14:formula1>
            <xm:f>Lookup!$A$11:$A$15</xm:f>
          </x14:formula1>
          <xm:sqref>J43</xm:sqref>
        </x14:dataValidation>
        <x14:dataValidation type="list" allowBlank="1" showInputMessage="1" showErrorMessage="1" xr:uid="{00000000-0002-0000-0100-000003000000}">
          <x14:formula1>
            <xm:f>Lookup!$A$21:$A$25</xm:f>
          </x14:formula1>
          <xm:sqref>F103</xm:sqref>
        </x14:dataValidation>
        <x14:dataValidation type="list" allowBlank="1" showInputMessage="1" showErrorMessage="1" xr:uid="{00000000-0002-0000-0100-000004000000}">
          <x14:formula1>
            <xm:f>Lookup!$C$1:$C$7</xm:f>
          </x14:formula1>
          <xm:sqref>D27:D36</xm:sqref>
        </x14:dataValidation>
        <x14:dataValidation type="list" allowBlank="1" showInputMessage="1" showErrorMessage="1" xr:uid="{00000000-0002-0000-0100-000005000000}">
          <x14:formula1>
            <xm:f>Lookup!$A$32:$A$33</xm:f>
          </x14:formula1>
          <xm:sqref>E7</xm:sqref>
        </x14:dataValidation>
        <x14:dataValidation type="list" allowBlank="1" showInputMessage="1" showErrorMessage="1" xr:uid="{00000000-0002-0000-0100-000006000000}">
          <x14:formula1>
            <xm:f>Lookup!$C$30:$C$44</xm:f>
          </x14:formula1>
          <xm:sqref>E5:G5</xm:sqref>
        </x14:dataValidation>
        <x14:dataValidation type="list" allowBlank="1" showInputMessage="1" showErrorMessage="1" xr:uid="{00000000-0002-0000-0100-000007000000}">
          <x14:formula1>
            <xm:f>Lookup!$E$2:$E$10</xm:f>
          </x14:formula1>
          <xm:sqref>I5:K5</xm:sqref>
        </x14:dataValidation>
        <x14:dataValidation type="list" allowBlank="1" showInputMessage="1" showErrorMessage="1" xr:uid="{00000000-0002-0000-0100-000008000000}">
          <x14:formula1>
            <xm:f>Lookup!$E$2:$E$23</xm:f>
          </x14:formula1>
          <xm:sqref>I6:K6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pageSetUpPr fitToPage="1"/>
  </sheetPr>
  <dimension ref="A1:O120"/>
  <sheetViews>
    <sheetView topLeftCell="B4" zoomScale="80" zoomScaleNormal="80" workbookViewId="0">
      <selection activeCell="B28" sqref="B28"/>
    </sheetView>
  </sheetViews>
  <sheetFormatPr defaultRowHeight="15" x14ac:dyDescent="0.25"/>
  <cols>
    <col min="1" max="1" width="12.5703125" customWidth="1"/>
    <col min="2" max="2" width="37.85546875" customWidth="1"/>
    <col min="3" max="3" width="15.42578125" customWidth="1"/>
    <col min="4" max="4" width="17.140625" customWidth="1"/>
    <col min="5" max="5" width="13.85546875" customWidth="1"/>
    <col min="6" max="6" width="14" customWidth="1"/>
    <col min="7" max="7" width="12" customWidth="1"/>
    <col min="8" max="8" width="11.85546875" customWidth="1"/>
    <col min="9" max="9" width="2.42578125" customWidth="1"/>
    <col min="10" max="10" width="13.7109375" customWidth="1"/>
    <col min="11" max="11" width="14.85546875" customWidth="1"/>
    <col min="12" max="12" width="15.7109375" customWidth="1"/>
    <col min="13" max="13" width="13.28515625" customWidth="1"/>
    <col min="14" max="14" width="14.28515625" customWidth="1"/>
    <col min="15" max="15" width="44.5703125" customWidth="1"/>
  </cols>
  <sheetData>
    <row r="1" spans="1:14" ht="19.5" customHeight="1" x14ac:dyDescent="0.35">
      <c r="A1" s="313" t="s">
        <v>419</v>
      </c>
      <c r="B1" s="313"/>
      <c r="C1" s="313"/>
      <c r="D1" s="313"/>
      <c r="E1" s="313"/>
      <c r="F1" s="313"/>
      <c r="G1" s="313"/>
      <c r="H1" s="313"/>
      <c r="I1" s="313"/>
      <c r="J1" s="313"/>
      <c r="K1" s="313"/>
      <c r="L1" s="313"/>
      <c r="M1" s="313"/>
      <c r="N1" s="313"/>
    </row>
    <row r="2" spans="1:14" ht="19.5" customHeight="1" x14ac:dyDescent="0.35">
      <c r="A2" s="313" t="s">
        <v>399</v>
      </c>
      <c r="B2" s="313"/>
      <c r="C2" s="313"/>
      <c r="D2" s="313"/>
      <c r="E2" s="313"/>
      <c r="F2" s="313"/>
      <c r="G2" s="313"/>
      <c r="H2" s="313"/>
      <c r="I2" s="313"/>
      <c r="J2" s="313"/>
      <c r="K2" s="313"/>
      <c r="L2" s="313"/>
      <c r="M2" s="313"/>
      <c r="N2" s="313"/>
    </row>
    <row r="3" spans="1:14" ht="14.25" customHeight="1" x14ac:dyDescent="0.25">
      <c r="A3" s="324" t="s">
        <v>434</v>
      </c>
      <c r="B3" s="324"/>
      <c r="C3" s="324"/>
      <c r="D3" s="324"/>
      <c r="E3" s="324"/>
      <c r="F3" s="324"/>
      <c r="G3" s="324"/>
      <c r="H3" s="324"/>
      <c r="I3" s="324"/>
      <c r="J3" s="324"/>
      <c r="K3" s="324"/>
      <c r="L3" s="324"/>
      <c r="M3" s="324"/>
      <c r="N3" s="324"/>
    </row>
    <row r="4" spans="1:14" ht="9" customHeight="1" x14ac:dyDescent="0.25"/>
    <row r="5" spans="1:14" ht="19.5" customHeight="1" x14ac:dyDescent="0.25">
      <c r="A5" s="27" t="s">
        <v>1</v>
      </c>
      <c r="B5" s="332"/>
      <c r="C5" s="332"/>
      <c r="D5" s="27" t="s">
        <v>2</v>
      </c>
      <c r="E5" s="332"/>
      <c r="F5" s="332"/>
      <c r="G5" s="332"/>
      <c r="H5" s="27" t="s">
        <v>3</v>
      </c>
      <c r="I5" s="332"/>
      <c r="J5" s="332"/>
      <c r="K5" s="332"/>
    </row>
    <row r="6" spans="1:14" ht="6.75" customHeight="1" x14ac:dyDescent="0.25">
      <c r="A6" s="4"/>
      <c r="B6" s="21"/>
      <c r="C6" s="21"/>
      <c r="E6" s="21"/>
      <c r="F6" s="21"/>
      <c r="G6" s="21"/>
      <c r="I6" s="21"/>
      <c r="J6" s="21"/>
      <c r="K6" s="21"/>
    </row>
    <row r="7" spans="1:14" ht="17.25" customHeight="1" x14ac:dyDescent="0.25">
      <c r="A7" s="27" t="s">
        <v>267</v>
      </c>
      <c r="B7" s="332"/>
      <c r="C7" s="332"/>
      <c r="D7" s="27" t="s">
        <v>265</v>
      </c>
      <c r="E7" s="100"/>
      <c r="F7" s="39" t="str">
        <f>IF(E7="Revision","Revisions require a comment in section 3 explaining the change","")</f>
        <v/>
      </c>
      <c r="H7" s="27" t="s">
        <v>432</v>
      </c>
      <c r="I7" s="329"/>
      <c r="J7" s="329"/>
    </row>
    <row r="8" spans="1:14" ht="6" customHeight="1" x14ac:dyDescent="0.25"/>
    <row r="9" spans="1:14" ht="20.25" customHeight="1" x14ac:dyDescent="0.25">
      <c r="A9" s="37" t="s">
        <v>4</v>
      </c>
    </row>
    <row r="10" spans="1:14" s="37" customFormat="1" ht="20.25" customHeight="1" x14ac:dyDescent="0.25">
      <c r="B10" s="37" t="s">
        <v>44</v>
      </c>
    </row>
    <row r="11" spans="1:14" s="37" customFormat="1" ht="19.5" customHeight="1" x14ac:dyDescent="0.25">
      <c r="B11" s="37" t="s">
        <v>122</v>
      </c>
    </row>
    <row r="12" spans="1:14" s="37" customFormat="1" ht="15.75" customHeight="1" x14ac:dyDescent="0.25">
      <c r="B12" s="37" t="s">
        <v>121</v>
      </c>
      <c r="C12" s="178" t="s">
        <v>400</v>
      </c>
      <c r="D12" s="61">
        <v>0.52629999999999999</v>
      </c>
      <c r="E12" s="178" t="s">
        <v>401</v>
      </c>
      <c r="F12" s="61">
        <v>1.2104999999999999</v>
      </c>
      <c r="G12" s="178" t="s">
        <v>402</v>
      </c>
      <c r="H12" s="61">
        <v>1.1578999999999999</v>
      </c>
      <c r="J12" s="178" t="s">
        <v>403</v>
      </c>
      <c r="K12" s="61">
        <v>0.78949999999999998</v>
      </c>
      <c r="L12" s="183"/>
    </row>
    <row r="13" spans="1:14" s="37" customFormat="1" ht="9" customHeight="1" x14ac:dyDescent="0.25">
      <c r="B13" s="177"/>
    </row>
    <row r="14" spans="1:14" s="37" customFormat="1" ht="15.75" customHeight="1" x14ac:dyDescent="0.25">
      <c r="B14" s="318" t="s">
        <v>43</v>
      </c>
      <c r="C14" s="318"/>
      <c r="D14" s="318"/>
      <c r="E14" s="318"/>
      <c r="F14" s="318"/>
      <c r="G14" s="318"/>
      <c r="H14" s="318"/>
      <c r="I14" s="318"/>
      <c r="J14" s="318"/>
      <c r="K14" s="318"/>
      <c r="L14" s="318"/>
      <c r="M14" s="318"/>
      <c r="N14" s="318"/>
    </row>
    <row r="15" spans="1:14" ht="7.5" customHeight="1" x14ac:dyDescent="0.25"/>
    <row r="16" spans="1:14" x14ac:dyDescent="0.25">
      <c r="A16" s="158" t="s">
        <v>5</v>
      </c>
      <c r="B16" s="157" t="s">
        <v>6</v>
      </c>
      <c r="C16" s="157"/>
      <c r="D16" s="159" t="s">
        <v>7</v>
      </c>
      <c r="E16" s="157"/>
      <c r="F16" s="157"/>
      <c r="G16" s="157"/>
      <c r="H16" s="157"/>
      <c r="I16" s="157"/>
      <c r="J16" s="157"/>
      <c r="K16" s="157"/>
      <c r="L16" s="157"/>
      <c r="M16" s="157"/>
      <c r="N16" s="157"/>
    </row>
    <row r="17" spans="1:15" ht="7.5" customHeight="1" x14ac:dyDescent="0.25"/>
    <row r="18" spans="1:15" x14ac:dyDescent="0.25">
      <c r="B18" s="4" t="s">
        <v>8</v>
      </c>
      <c r="C18" s="101"/>
      <c r="E18" t="s">
        <v>9</v>
      </c>
      <c r="F18" s="32">
        <f>C18/9</f>
        <v>0</v>
      </c>
    </row>
    <row r="19" spans="1:15" ht="7.5" customHeight="1" x14ac:dyDescent="0.25"/>
    <row r="20" spans="1:15" ht="15.75" x14ac:dyDescent="0.25">
      <c r="B20" s="190" t="s">
        <v>433</v>
      </c>
      <c r="E20" s="100"/>
    </row>
    <row r="21" spans="1:15" ht="7.5" customHeight="1" x14ac:dyDescent="0.25"/>
    <row r="22" spans="1:15" x14ac:dyDescent="0.25">
      <c r="B22" t="s">
        <v>10</v>
      </c>
      <c r="D22" s="101"/>
      <c r="F22" t="s">
        <v>9</v>
      </c>
      <c r="G22" s="32">
        <f>D22/9</f>
        <v>0</v>
      </c>
    </row>
    <row r="23" spans="1:15" ht="15" customHeight="1" x14ac:dyDescent="0.25">
      <c r="B23" s="127" t="s">
        <v>239</v>
      </c>
    </row>
    <row r="24" spans="1:15" ht="15.75" x14ac:dyDescent="0.25">
      <c r="B24" t="s">
        <v>404</v>
      </c>
      <c r="E24" s="100"/>
      <c r="F24" s="35" t="str">
        <f>IF(E24="Yes", "PLEASE USE NSTP SUMMER SALARY FORM","")</f>
        <v/>
      </c>
    </row>
    <row r="25" spans="1:15" ht="7.5" customHeight="1" x14ac:dyDescent="0.25"/>
    <row r="26" spans="1:15" s="1" customFormat="1" ht="63" customHeight="1" x14ac:dyDescent="0.25">
      <c r="A26" s="12" t="s">
        <v>12</v>
      </c>
      <c r="B26" s="13" t="s">
        <v>411</v>
      </c>
      <c r="C26" s="13" t="s">
        <v>13</v>
      </c>
      <c r="D26" s="13" t="s">
        <v>50</v>
      </c>
      <c r="E26" s="13" t="s">
        <v>14</v>
      </c>
      <c r="F26" s="13" t="s">
        <v>15</v>
      </c>
      <c r="G26" s="13" t="s">
        <v>262</v>
      </c>
      <c r="H26" s="13" t="s">
        <v>45</v>
      </c>
      <c r="I26" s="206"/>
      <c r="J26" s="13" t="s">
        <v>46</v>
      </c>
      <c r="K26" s="13" t="s">
        <v>468</v>
      </c>
      <c r="L26" s="13" t="s">
        <v>16</v>
      </c>
      <c r="M26" s="13" t="s">
        <v>405</v>
      </c>
      <c r="N26" s="13" t="s">
        <v>17</v>
      </c>
      <c r="O26" s="14" t="s">
        <v>397</v>
      </c>
    </row>
    <row r="27" spans="1:15" ht="30" customHeight="1" x14ac:dyDescent="0.25">
      <c r="A27" s="102"/>
      <c r="B27" s="304"/>
      <c r="C27" s="104"/>
      <c r="D27" s="103"/>
      <c r="E27" s="105"/>
      <c r="F27" s="103"/>
      <c r="G27" s="152">
        <f>IF(D27="NIH",Lookup!$M$2,IF(D27="NSF",Lookup!$L$16,IF(D27="NIFA",Lookup!$M$22,IF(D27="Other",$C$39,0))))</f>
        <v>0</v>
      </c>
      <c r="H27" s="113"/>
      <c r="J27" s="45">
        <f t="shared" ref="J27:J36" si="0">IF(A27="June",$F$18*C27,$G$22*C27)</f>
        <v>0</v>
      </c>
      <c r="K27" s="275">
        <f>J27*0.079</f>
        <v>0</v>
      </c>
      <c r="L27" s="46" t="str">
        <f>IF(AND(G27&gt;0,J27&gt;(G27*C27)),"Yes","No")</f>
        <v>No</v>
      </c>
      <c r="M27" s="47">
        <f t="shared" ref="M27:M36" si="1">IF(L27="Yes",J27-N27,J27)</f>
        <v>0</v>
      </c>
      <c r="N27" s="42">
        <f t="shared" ref="N27:N36" si="2">IF(L27="Yes",J27-(G27*C27),0)</f>
        <v>0</v>
      </c>
      <c r="O27" s="301"/>
    </row>
    <row r="28" spans="1:15" ht="30" customHeight="1" x14ac:dyDescent="0.25">
      <c r="A28" s="106"/>
      <c r="B28" s="305"/>
      <c r="C28" s="108"/>
      <c r="D28" s="107"/>
      <c r="E28" s="109"/>
      <c r="F28" s="211"/>
      <c r="G28" s="43">
        <f>IF(D28="NIH",Lookup!$M$2,IF(D28="NSF",Lookup!$L$16,IF(D28="NIFA",Lookup!$M$22,IF(D28="Other",$C$39,0))))</f>
        <v>0</v>
      </c>
      <c r="H28" s="212"/>
      <c r="J28" s="48">
        <f t="shared" si="0"/>
        <v>0</v>
      </c>
      <c r="K28" s="276">
        <f>J28*0.079</f>
        <v>0</v>
      </c>
      <c r="L28" s="49" t="str">
        <f>IF(AND(G28&gt;0,J28&gt;(G28*C28)),"Yes","No")</f>
        <v>No</v>
      </c>
      <c r="M28" s="50">
        <f t="shared" si="1"/>
        <v>0</v>
      </c>
      <c r="N28" s="43">
        <f t="shared" si="2"/>
        <v>0</v>
      </c>
      <c r="O28" s="302"/>
    </row>
    <row r="29" spans="1:15" ht="30" customHeight="1" x14ac:dyDescent="0.25">
      <c r="A29" s="106"/>
      <c r="B29" s="305"/>
      <c r="C29" s="108"/>
      <c r="D29" s="107"/>
      <c r="E29" s="109"/>
      <c r="F29" s="211"/>
      <c r="G29" s="43">
        <f>IF(D29="NIH",Lookup!$M$2,IF(D29="NSF",Lookup!$L$16,IF(D29="NIFA",Lookup!$M$22,IF(D29="Other",$C$39,0))))</f>
        <v>0</v>
      </c>
      <c r="H29" s="212"/>
      <c r="J29" s="48">
        <f t="shared" si="0"/>
        <v>0</v>
      </c>
      <c r="K29" s="276">
        <f t="shared" ref="K29:K36" si="3">J29*0.079</f>
        <v>0</v>
      </c>
      <c r="L29" s="49" t="str">
        <f t="shared" ref="L29:L36" si="4">IF(AND(G29&gt;0,J29&gt;(G29*C29)),"Yes","No")</f>
        <v>No</v>
      </c>
      <c r="M29" s="50">
        <f t="shared" si="1"/>
        <v>0</v>
      </c>
      <c r="N29" s="43">
        <f t="shared" si="2"/>
        <v>0</v>
      </c>
      <c r="O29" s="302"/>
    </row>
    <row r="30" spans="1:15" ht="30" customHeight="1" x14ac:dyDescent="0.25">
      <c r="A30" s="106"/>
      <c r="B30" s="305"/>
      <c r="C30" s="108"/>
      <c r="D30" s="107"/>
      <c r="E30" s="109"/>
      <c r="F30" s="211"/>
      <c r="G30" s="43">
        <f>IF(D30="NIH",Lookup!$M$2,IF(D30="NSF",Lookup!$L$16,IF(D30="NIFA",Lookup!$M$22,IF(D30="Other",$C$39,0))))</f>
        <v>0</v>
      </c>
      <c r="H30" s="212"/>
      <c r="J30" s="48">
        <f t="shared" si="0"/>
        <v>0</v>
      </c>
      <c r="K30" s="276">
        <f t="shared" si="3"/>
        <v>0</v>
      </c>
      <c r="L30" s="49" t="str">
        <f t="shared" si="4"/>
        <v>No</v>
      </c>
      <c r="M30" s="50">
        <f t="shared" si="1"/>
        <v>0</v>
      </c>
      <c r="N30" s="43">
        <f t="shared" si="2"/>
        <v>0</v>
      </c>
      <c r="O30" s="302"/>
    </row>
    <row r="31" spans="1:15" ht="30" customHeight="1" x14ac:dyDescent="0.25">
      <c r="A31" s="106"/>
      <c r="B31" s="305"/>
      <c r="C31" s="108"/>
      <c r="D31" s="107"/>
      <c r="E31" s="109"/>
      <c r="F31" s="211"/>
      <c r="G31" s="43">
        <f>IF(D31="NIH",Lookup!$M$2,IF(D31="NSF",Lookup!$L$16,IF(D31="NIFA",Lookup!$M$22,IF(D31="Other",$C$39,0))))</f>
        <v>0</v>
      </c>
      <c r="H31" s="212"/>
      <c r="J31" s="48">
        <f t="shared" si="0"/>
        <v>0</v>
      </c>
      <c r="K31" s="276">
        <f t="shared" si="3"/>
        <v>0</v>
      </c>
      <c r="L31" s="49" t="str">
        <f t="shared" si="4"/>
        <v>No</v>
      </c>
      <c r="M31" s="50">
        <f t="shared" si="1"/>
        <v>0</v>
      </c>
      <c r="N31" s="43">
        <f t="shared" si="2"/>
        <v>0</v>
      </c>
      <c r="O31" s="302"/>
    </row>
    <row r="32" spans="1:15" ht="30" customHeight="1" x14ac:dyDescent="0.25">
      <c r="A32" s="106"/>
      <c r="B32" s="305"/>
      <c r="C32" s="108"/>
      <c r="D32" s="107"/>
      <c r="E32" s="109"/>
      <c r="F32" s="211"/>
      <c r="G32" s="43">
        <f>IF(D32="NIH",Lookup!$M$2,IF(D32="NSF",Lookup!$L$16,IF(D32="NIFA",Lookup!$M$22,IF(D32="Other",$C$39,0))))</f>
        <v>0</v>
      </c>
      <c r="H32" s="212"/>
      <c r="J32" s="48">
        <f t="shared" si="0"/>
        <v>0</v>
      </c>
      <c r="K32" s="276">
        <f t="shared" si="3"/>
        <v>0</v>
      </c>
      <c r="L32" s="49" t="str">
        <f t="shared" si="4"/>
        <v>No</v>
      </c>
      <c r="M32" s="50">
        <f t="shared" si="1"/>
        <v>0</v>
      </c>
      <c r="N32" s="43">
        <f t="shared" si="2"/>
        <v>0</v>
      </c>
      <c r="O32" s="302"/>
    </row>
    <row r="33" spans="1:15" ht="30" customHeight="1" x14ac:dyDescent="0.25">
      <c r="A33" s="106"/>
      <c r="B33" s="305"/>
      <c r="C33" s="108"/>
      <c r="D33" s="107"/>
      <c r="E33" s="107"/>
      <c r="F33" s="211"/>
      <c r="G33" s="43">
        <f>IF(D33="NIH",Lookup!$M$2,IF(D33="NSF",Lookup!$L$16,IF(D33="NIFA",Lookup!$M$22,IF(D33="Other",$C$39,0))))</f>
        <v>0</v>
      </c>
      <c r="H33" s="212"/>
      <c r="J33" s="48">
        <f t="shared" si="0"/>
        <v>0</v>
      </c>
      <c r="K33" s="276">
        <f t="shared" si="3"/>
        <v>0</v>
      </c>
      <c r="L33" s="49" t="str">
        <f t="shared" si="4"/>
        <v>No</v>
      </c>
      <c r="M33" s="50">
        <f t="shared" si="1"/>
        <v>0</v>
      </c>
      <c r="N33" s="43">
        <f t="shared" si="2"/>
        <v>0</v>
      </c>
      <c r="O33" s="302"/>
    </row>
    <row r="34" spans="1:15" ht="30" customHeight="1" x14ac:dyDescent="0.25">
      <c r="A34" s="106"/>
      <c r="B34" s="305"/>
      <c r="C34" s="108"/>
      <c r="D34" s="107"/>
      <c r="E34" s="107"/>
      <c r="F34" s="211"/>
      <c r="G34" s="43">
        <f>IF(D34="NIH",Lookup!$M$2,IF(D34="NSF",Lookup!$L$16,IF(D34="NIFA",Lookup!$M$22,IF(D34="Other",$C$39,0))))</f>
        <v>0</v>
      </c>
      <c r="H34" s="212"/>
      <c r="J34" s="48">
        <f t="shared" si="0"/>
        <v>0</v>
      </c>
      <c r="K34" s="276">
        <f t="shared" si="3"/>
        <v>0</v>
      </c>
      <c r="L34" s="49" t="str">
        <f t="shared" si="4"/>
        <v>No</v>
      </c>
      <c r="M34" s="50">
        <f t="shared" si="1"/>
        <v>0</v>
      </c>
      <c r="N34" s="43">
        <f t="shared" si="2"/>
        <v>0</v>
      </c>
      <c r="O34" s="302"/>
    </row>
    <row r="35" spans="1:15" ht="30" customHeight="1" x14ac:dyDescent="0.25">
      <c r="A35" s="106"/>
      <c r="B35" s="305"/>
      <c r="C35" s="108"/>
      <c r="D35" s="107"/>
      <c r="E35" s="107"/>
      <c r="F35" s="211"/>
      <c r="G35" s="43">
        <f>IF(D35="NIH",Lookup!$M$2,IF(D35="NSF",Lookup!$L$16,IF(D35="NIFA",Lookup!$M$22,IF(D35="Other",$C$39,0))))</f>
        <v>0</v>
      </c>
      <c r="H35" s="212"/>
      <c r="J35" s="48">
        <f t="shared" si="0"/>
        <v>0</v>
      </c>
      <c r="K35" s="276">
        <f t="shared" si="3"/>
        <v>0</v>
      </c>
      <c r="L35" s="49" t="str">
        <f t="shared" si="4"/>
        <v>No</v>
      </c>
      <c r="M35" s="50">
        <f t="shared" si="1"/>
        <v>0</v>
      </c>
      <c r="N35" s="43">
        <f t="shared" si="2"/>
        <v>0</v>
      </c>
      <c r="O35" s="302"/>
    </row>
    <row r="36" spans="1:15" ht="30" customHeight="1" x14ac:dyDescent="0.25">
      <c r="A36" s="110"/>
      <c r="B36" s="306"/>
      <c r="C36" s="112"/>
      <c r="D36" s="111"/>
      <c r="E36" s="111"/>
      <c r="F36" s="111"/>
      <c r="G36" s="43">
        <f>IF(D36="NIH",Lookup!$M$2,IF(D36="NSF",Lookup!$L$16,IF(D36="NIFA",Lookup!$M$22,IF(D36="Other",$C$39,0))))</f>
        <v>0</v>
      </c>
      <c r="H36" s="114"/>
      <c r="I36" s="10"/>
      <c r="J36" s="51">
        <f t="shared" si="0"/>
        <v>0</v>
      </c>
      <c r="K36" s="44">
        <f t="shared" si="3"/>
        <v>0</v>
      </c>
      <c r="L36" s="52" t="str">
        <f t="shared" si="4"/>
        <v>No</v>
      </c>
      <c r="M36" s="53">
        <f t="shared" si="1"/>
        <v>0</v>
      </c>
      <c r="N36" s="44">
        <f t="shared" si="2"/>
        <v>0</v>
      </c>
      <c r="O36" s="303"/>
    </row>
    <row r="37" spans="1:15" ht="18.75" customHeight="1" x14ac:dyDescent="0.25">
      <c r="A37" s="277" t="s">
        <v>227</v>
      </c>
      <c r="B37" s="277"/>
      <c r="C37" s="287">
        <f>SUM(C27:C36)</f>
        <v>0</v>
      </c>
      <c r="D37" s="277"/>
      <c r="E37" s="277"/>
      <c r="F37" s="277"/>
      <c r="G37" s="278"/>
      <c r="H37" s="277"/>
      <c r="I37" s="279"/>
      <c r="J37" s="278">
        <f>SUM(J27:J36)</f>
        <v>0</v>
      </c>
      <c r="K37" s="278">
        <f>SUM(K27:K36)</f>
        <v>0</v>
      </c>
      <c r="L37" s="279"/>
      <c r="M37" s="278">
        <f>SUM(M27:M36)</f>
        <v>0</v>
      </c>
      <c r="N37" s="278">
        <f>SUM(N27:N36)</f>
        <v>0</v>
      </c>
      <c r="O37" s="280"/>
    </row>
    <row r="38" spans="1:15" ht="30" customHeight="1" x14ac:dyDescent="0.25">
      <c r="A38" s="333" t="s">
        <v>406</v>
      </c>
      <c r="B38" s="333"/>
      <c r="C38" s="333"/>
      <c r="D38" s="333"/>
      <c r="E38" s="333"/>
      <c r="F38" s="333"/>
      <c r="G38" s="333"/>
      <c r="H38" s="333"/>
      <c r="I38" s="333"/>
      <c r="J38" s="333"/>
      <c r="K38" s="333"/>
      <c r="L38" s="333"/>
      <c r="M38" s="333"/>
      <c r="N38" s="333"/>
    </row>
    <row r="39" spans="1:15" x14ac:dyDescent="0.25">
      <c r="A39" s="26" t="s">
        <v>52</v>
      </c>
      <c r="B39" s="24"/>
      <c r="C39" s="101">
        <v>0</v>
      </c>
    </row>
    <row r="40" spans="1:15" ht="7.5" customHeight="1" x14ac:dyDescent="0.25"/>
    <row r="41" spans="1:15" x14ac:dyDescent="0.25">
      <c r="B41" t="s">
        <v>18</v>
      </c>
      <c r="C41" s="100"/>
      <c r="D41" s="4" t="s">
        <v>438</v>
      </c>
      <c r="E41" t="s">
        <v>439</v>
      </c>
      <c r="G41" s="101"/>
      <c r="J41" s="4" t="s">
        <v>466</v>
      </c>
      <c r="K41" s="216" t="str">
        <f>IFERROR(G41/G22,"")</f>
        <v/>
      </c>
    </row>
    <row r="42" spans="1:15" ht="7.5" customHeight="1" x14ac:dyDescent="0.25"/>
    <row r="43" spans="1:15" x14ac:dyDescent="0.25">
      <c r="B43" t="s">
        <v>407</v>
      </c>
      <c r="J43" s="100"/>
      <c r="L43" s="3"/>
    </row>
    <row r="44" spans="1:15" ht="7.5" customHeight="1" x14ac:dyDescent="0.25"/>
    <row r="45" spans="1:15" x14ac:dyDescent="0.25">
      <c r="B45" t="s">
        <v>19</v>
      </c>
      <c r="E45" s="100"/>
    </row>
    <row r="46" spans="1:15" ht="7.5" customHeight="1" x14ac:dyDescent="0.25"/>
    <row r="47" spans="1:15" ht="15" customHeight="1" x14ac:dyDescent="0.25">
      <c r="B47" t="s">
        <v>444</v>
      </c>
    </row>
    <row r="48" spans="1:15" ht="7.5" customHeight="1" x14ac:dyDescent="0.25"/>
    <row r="49" spans="1:14" ht="21.75" customHeight="1" x14ac:dyDescent="0.25">
      <c r="A49" t="s">
        <v>20</v>
      </c>
      <c r="C49" s="329"/>
      <c r="D49" s="329"/>
      <c r="E49" s="329"/>
      <c r="F49" s="329"/>
      <c r="G49" s="329"/>
      <c r="I49" s="334"/>
      <c r="J49" s="334"/>
    </row>
    <row r="50" spans="1:14" ht="15" customHeight="1" x14ac:dyDescent="0.25">
      <c r="C50" s="22"/>
      <c r="D50" s="29" t="s">
        <v>308</v>
      </c>
      <c r="J50" s="29" t="s">
        <v>67</v>
      </c>
    </row>
    <row r="51" spans="1:14" ht="15" customHeight="1" x14ac:dyDescent="0.25">
      <c r="C51" s="23" t="s">
        <v>313</v>
      </c>
      <c r="D51" s="29"/>
      <c r="J51" s="29"/>
    </row>
    <row r="52" spans="1:14" ht="10.5" customHeight="1" x14ac:dyDescent="0.25">
      <c r="C52" s="22"/>
    </row>
    <row r="53" spans="1:14" x14ac:dyDescent="0.25">
      <c r="A53" s="23" t="s">
        <v>58</v>
      </c>
    </row>
    <row r="55" spans="1:14" x14ac:dyDescent="0.25">
      <c r="A55" s="158" t="s">
        <v>21</v>
      </c>
      <c r="B55" s="157" t="s">
        <v>109</v>
      </c>
      <c r="C55" s="157"/>
      <c r="D55" s="157"/>
      <c r="E55" s="157"/>
      <c r="F55" s="157"/>
      <c r="G55" s="157"/>
      <c r="H55" s="157"/>
      <c r="I55" s="157"/>
      <c r="J55" s="157"/>
      <c r="K55" s="157"/>
      <c r="L55" s="157"/>
      <c r="M55" s="157"/>
      <c r="N55" s="157"/>
    </row>
    <row r="56" spans="1:14" ht="7.5" customHeight="1" x14ac:dyDescent="0.25"/>
    <row r="57" spans="1:14" x14ac:dyDescent="0.25">
      <c r="A57" s="213" t="s">
        <v>115</v>
      </c>
      <c r="B57" s="214"/>
      <c r="C57" s="214"/>
      <c r="D57" s="214"/>
      <c r="E57" s="214"/>
      <c r="F57" s="214"/>
      <c r="G57" s="214"/>
      <c r="H57" s="214"/>
      <c r="I57" s="214"/>
      <c r="J57" s="214"/>
      <c r="K57" s="215"/>
    </row>
    <row r="58" spans="1:14" x14ac:dyDescent="0.25">
      <c r="A58" s="7"/>
      <c r="B58" t="s">
        <v>61</v>
      </c>
      <c r="C58" s="4" t="s">
        <v>62</v>
      </c>
      <c r="D58" s="34">
        <f>SUMIF(D27:D36,"NSF",C27:C36)</f>
        <v>0</v>
      </c>
      <c r="F58" s="4" t="s">
        <v>63</v>
      </c>
      <c r="G58" s="78">
        <f>SUMIF(D27:D36,"NSF",J27:J36)</f>
        <v>0</v>
      </c>
      <c r="K58" s="8"/>
    </row>
    <row r="59" spans="1:14" ht="7.5" customHeight="1" x14ac:dyDescent="0.25">
      <c r="A59" s="7"/>
      <c r="K59" s="8"/>
    </row>
    <row r="60" spans="1:14" x14ac:dyDescent="0.25">
      <c r="A60" s="7"/>
      <c r="B60" t="s">
        <v>59</v>
      </c>
      <c r="I60" s="329"/>
      <c r="J60" s="329"/>
      <c r="K60" s="8"/>
    </row>
    <row r="61" spans="1:14" ht="7.5" customHeight="1" x14ac:dyDescent="0.25">
      <c r="A61" s="7"/>
      <c r="K61" s="8"/>
    </row>
    <row r="62" spans="1:14" x14ac:dyDescent="0.25">
      <c r="A62" s="7"/>
      <c r="B62" t="s">
        <v>64</v>
      </c>
      <c r="F62" s="4" t="s">
        <v>104</v>
      </c>
      <c r="G62" s="101">
        <v>0</v>
      </c>
      <c r="J62" s="4" t="s">
        <v>105</v>
      </c>
      <c r="K62" s="115"/>
    </row>
    <row r="63" spans="1:14" ht="7.5" customHeight="1" x14ac:dyDescent="0.25">
      <c r="A63" s="7"/>
      <c r="K63" s="8"/>
    </row>
    <row r="64" spans="1:14" x14ac:dyDescent="0.25">
      <c r="A64" s="7"/>
      <c r="F64" s="4" t="s">
        <v>107</v>
      </c>
      <c r="G64" s="34">
        <f>G58+G62</f>
        <v>0</v>
      </c>
      <c r="J64" s="4" t="s">
        <v>106</v>
      </c>
      <c r="K64" s="77">
        <f>K62+D58</f>
        <v>0</v>
      </c>
      <c r="M64" s="36"/>
    </row>
    <row r="65" spans="1:11" x14ac:dyDescent="0.25">
      <c r="A65" s="7"/>
      <c r="K65" s="8"/>
    </row>
    <row r="66" spans="1:11" x14ac:dyDescent="0.25">
      <c r="A66" s="7"/>
      <c r="B66" t="s">
        <v>108</v>
      </c>
      <c r="G66" s="64" t="str">
        <f>IF(OR(K64&gt;2,G64&gt;Lookup!L16+0.01),"YES, OVER CAP","No")</f>
        <v>No</v>
      </c>
      <c r="K66" s="8"/>
    </row>
    <row r="67" spans="1:11" x14ac:dyDescent="0.25">
      <c r="A67" s="9"/>
      <c r="B67" s="10" t="s">
        <v>60</v>
      </c>
      <c r="C67" s="10"/>
      <c r="D67" s="10"/>
      <c r="E67" s="10"/>
      <c r="F67" s="10"/>
      <c r="G67" s="10"/>
      <c r="H67" s="10"/>
      <c r="I67" s="10"/>
      <c r="J67" s="10"/>
      <c r="K67" s="11"/>
    </row>
    <row r="68" spans="1:11" ht="9.75" customHeight="1" x14ac:dyDescent="0.25"/>
    <row r="69" spans="1:11" x14ac:dyDescent="0.25">
      <c r="A69" s="213" t="s">
        <v>116</v>
      </c>
      <c r="B69" s="214"/>
      <c r="C69" s="214"/>
      <c r="D69" s="214"/>
      <c r="E69" s="214"/>
      <c r="F69" s="214"/>
      <c r="G69" s="215"/>
    </row>
    <row r="70" spans="1:11" x14ac:dyDescent="0.25">
      <c r="A70" s="7"/>
      <c r="C70" s="2" t="s">
        <v>11</v>
      </c>
      <c r="D70" s="2" t="s">
        <v>110</v>
      </c>
      <c r="E70" s="2" t="s">
        <v>112</v>
      </c>
      <c r="F70" s="2" t="s">
        <v>111</v>
      </c>
      <c r="G70" s="57" t="s">
        <v>113</v>
      </c>
    </row>
    <row r="71" spans="1:11" x14ac:dyDescent="0.25">
      <c r="A71" s="7"/>
      <c r="B71" s="157" t="s">
        <v>114</v>
      </c>
      <c r="C71" t="s">
        <v>39</v>
      </c>
      <c r="D71" s="17">
        <f>SUMIFS($M$27:$M$36,$A$27:$A$36,C71,$D$27:$D$36,"NIH")</f>
        <v>0</v>
      </c>
      <c r="E71" s="15">
        <f>SUMIFS($C$27:$C$36,$A$27:$A$36,C71,$D$27:$D$36,"NIH")</f>
        <v>0</v>
      </c>
      <c r="F71" s="17">
        <f>E71*$B$72</f>
        <v>0</v>
      </c>
      <c r="G71" s="40" t="str">
        <f>IF(F71&lt;D71,"OVER CAP",IF(E71&gt;1,"OVER CAP",""))</f>
        <v/>
      </c>
    </row>
    <row r="72" spans="1:11" x14ac:dyDescent="0.25">
      <c r="A72" s="7"/>
      <c r="B72" s="205">
        <f>Lookup!M2</f>
        <v>18491.666666666668</v>
      </c>
      <c r="C72" t="s">
        <v>40</v>
      </c>
      <c r="D72" s="17">
        <f>SUMIFS($M$27:$M$36,$A$27:$A$36,C72,$D$27:$D$36,"NIH")</f>
        <v>0</v>
      </c>
      <c r="E72" s="15">
        <f t="shared" ref="E72:E74" si="5">SUMIFS($C$27:$C$36,$A$27:$A$36,C72,$D$27:$D$36,"NIH")</f>
        <v>0</v>
      </c>
      <c r="F72" s="17">
        <f>E72*$B$72</f>
        <v>0</v>
      </c>
      <c r="G72" s="40" t="str">
        <f t="shared" ref="G72:G74" si="6">IF(F72&lt;D72,"OVER CAP",IF(E72&gt;1,"OVER CAP",""))</f>
        <v/>
      </c>
    </row>
    <row r="73" spans="1:11" x14ac:dyDescent="0.25">
      <c r="A73" s="7"/>
      <c r="C73" t="s">
        <v>41</v>
      </c>
      <c r="D73" s="17">
        <f>SUMIFS($M$27:$M$36,$A$27:$A$36,C73,$D$27:$D$36,"NIH")</f>
        <v>0</v>
      </c>
      <c r="E73" s="15">
        <f t="shared" si="5"/>
        <v>0</v>
      </c>
      <c r="F73" s="17">
        <f>E73*$B$72</f>
        <v>0</v>
      </c>
      <c r="G73" s="40" t="str">
        <f t="shared" si="6"/>
        <v/>
      </c>
    </row>
    <row r="74" spans="1:11" x14ac:dyDescent="0.25">
      <c r="A74" s="9"/>
      <c r="B74" s="10"/>
      <c r="C74" s="10" t="s">
        <v>42</v>
      </c>
      <c r="D74" s="5">
        <f>SUMIFS($M$27:$M$36,$A$27:$A$36,C74,$D$27:$D$36,"NIH")</f>
        <v>0</v>
      </c>
      <c r="E74" s="16">
        <f t="shared" si="5"/>
        <v>0</v>
      </c>
      <c r="F74" s="5">
        <f>E74*$B$72</f>
        <v>0</v>
      </c>
      <c r="G74" s="41" t="str">
        <f t="shared" si="6"/>
        <v/>
      </c>
    </row>
    <row r="75" spans="1:11" ht="6.75" customHeight="1" x14ac:dyDescent="0.25"/>
    <row r="76" spans="1:11" ht="15" customHeight="1" x14ac:dyDescent="0.25">
      <c r="A76" s="213" t="s">
        <v>258</v>
      </c>
      <c r="B76" s="214"/>
      <c r="C76" s="214"/>
      <c r="D76" s="214"/>
      <c r="E76" s="214"/>
      <c r="F76" s="214"/>
      <c r="G76" s="215"/>
    </row>
    <row r="77" spans="1:11" ht="15" customHeight="1" x14ac:dyDescent="0.25">
      <c r="A77" s="7"/>
      <c r="C77" s="2" t="s">
        <v>11</v>
      </c>
      <c r="D77" s="2" t="s">
        <v>110</v>
      </c>
      <c r="E77" s="2" t="s">
        <v>112</v>
      </c>
      <c r="F77" s="2" t="s">
        <v>111</v>
      </c>
      <c r="G77" s="57" t="s">
        <v>113</v>
      </c>
    </row>
    <row r="78" spans="1:11" ht="15" customHeight="1" x14ac:dyDescent="0.25">
      <c r="A78" s="7"/>
      <c r="B78" s="157" t="s">
        <v>259</v>
      </c>
      <c r="C78" t="s">
        <v>39</v>
      </c>
      <c r="D78" s="17">
        <f>SUMIFS($M$27:$M$36,$A$27:$A$36,C78,$D$27:$D$36,"NIFA")</f>
        <v>0</v>
      </c>
      <c r="E78" s="15">
        <f>SUMIFS($C$27:$C$36,$A$27:$A$36,C78,$D$27:$D$36,"NIFA")</f>
        <v>0</v>
      </c>
      <c r="F78" s="17">
        <f>E78*$B$79</f>
        <v>0</v>
      </c>
      <c r="G78" s="40" t="str">
        <f>IF(F78&lt;D78,"OVER CAP",IF(E78&gt;1,"OVER CAP",""))</f>
        <v/>
      </c>
    </row>
    <row r="79" spans="1:11" ht="15" customHeight="1" x14ac:dyDescent="0.25">
      <c r="A79" s="7"/>
      <c r="B79" s="205">
        <f>Lookup!M22</f>
        <v>15991.666666666666</v>
      </c>
      <c r="C79" t="s">
        <v>40</v>
      </c>
      <c r="D79" s="17">
        <f>SUMIFS($M$27:$M$36,$A$27:$A$36,C79,$D$27:$D$36,"NIFA")</f>
        <v>0</v>
      </c>
      <c r="E79" s="15">
        <f>SUMIFS($C$27:$C$36,$A$27:$A$36,C79,$D$27:$D$36,"NIFA")</f>
        <v>0</v>
      </c>
      <c r="F79" s="17">
        <f>E79*$B$79</f>
        <v>0</v>
      </c>
      <c r="G79" s="40" t="str">
        <f t="shared" ref="G79:G81" si="7">IF(F79&lt;D79,"OVER CAP",IF(E79&gt;1,"OVER CAP",""))</f>
        <v/>
      </c>
    </row>
    <row r="80" spans="1:11" ht="15" customHeight="1" x14ac:dyDescent="0.25">
      <c r="A80" s="7"/>
      <c r="C80" t="s">
        <v>41</v>
      </c>
      <c r="D80" s="17">
        <f>SUMIFS($M$27:$M$36,$A$27:$A$36,C80,$D$27:$D$36,"NIFA")</f>
        <v>0</v>
      </c>
      <c r="E80" s="15">
        <f>SUMIFS($C$27:$C$36,$A$27:$A$36,C80,$D$27:$D$36,"NIFA")</f>
        <v>0</v>
      </c>
      <c r="F80" s="17">
        <f>E80*$B$79</f>
        <v>0</v>
      </c>
      <c r="G80" s="40" t="str">
        <f t="shared" si="7"/>
        <v/>
      </c>
    </row>
    <row r="81" spans="1:14" ht="15" customHeight="1" x14ac:dyDescent="0.25">
      <c r="A81" s="9"/>
      <c r="B81" s="10"/>
      <c r="C81" s="10" t="s">
        <v>42</v>
      </c>
      <c r="D81" s="5">
        <f>SUMIFS($M$27:$M$36,$A$27:$A$36,C81,$D$27:$D$36,"NIFA")</f>
        <v>0</v>
      </c>
      <c r="E81" s="16">
        <f>SUMIFS($C$27:$C$36,$A$27:$A$36,C81,$D$27:$D$36,"NIFA")</f>
        <v>0</v>
      </c>
      <c r="F81" s="5">
        <f>E81*$B$79</f>
        <v>0</v>
      </c>
      <c r="G81" s="41" t="str">
        <f t="shared" si="7"/>
        <v/>
      </c>
    </row>
    <row r="82" spans="1:14" ht="6.75" customHeight="1" x14ac:dyDescent="0.25"/>
    <row r="83" spans="1:14" x14ac:dyDescent="0.25">
      <c r="A83" s="213" t="s">
        <v>117</v>
      </c>
      <c r="B83" s="214"/>
      <c r="C83" s="214"/>
      <c r="D83" s="214"/>
      <c r="E83" s="214"/>
      <c r="F83" s="214"/>
      <c r="G83" s="215"/>
    </row>
    <row r="84" spans="1:14" x14ac:dyDescent="0.25">
      <c r="A84" s="7"/>
      <c r="B84" t="s">
        <v>11</v>
      </c>
      <c r="C84" t="s">
        <v>118</v>
      </c>
      <c r="D84" t="s">
        <v>120</v>
      </c>
      <c r="E84" s="132" t="s">
        <v>247</v>
      </c>
      <c r="G84" s="8"/>
    </row>
    <row r="85" spans="1:14" x14ac:dyDescent="0.25">
      <c r="A85" s="7"/>
      <c r="B85" t="s">
        <v>39</v>
      </c>
      <c r="C85" s="15">
        <f>SUMIF($A$27:$A$36,B85,C27:$C$36)</f>
        <v>0</v>
      </c>
      <c r="D85" s="39" t="str">
        <f>IF(C85&gt;1,"OVER CAP","")</f>
        <v/>
      </c>
      <c r="E85" s="133" t="str">
        <f>IF(C85&gt;D12,"OVER CAP","")</f>
        <v/>
      </c>
      <c r="G85" s="8"/>
    </row>
    <row r="86" spans="1:14" x14ac:dyDescent="0.25">
      <c r="A86" s="7"/>
      <c r="B86" t="s">
        <v>40</v>
      </c>
      <c r="C86" s="15">
        <f>SUMIF($A$27:$A$36,B86,C27:$C$36)</f>
        <v>0</v>
      </c>
      <c r="D86" s="39" t="str">
        <f t="shared" ref="D86:D89" si="8">IF(C86&gt;1,"OVER CAP","")</f>
        <v/>
      </c>
      <c r="E86" s="133" t="str">
        <f>IF(C86&gt;F12,"OVER CAP","")</f>
        <v/>
      </c>
      <c r="G86" s="8"/>
    </row>
    <row r="87" spans="1:14" x14ac:dyDescent="0.25">
      <c r="A87" s="7"/>
      <c r="B87" t="s">
        <v>41</v>
      </c>
      <c r="C87" s="15">
        <f>SUMIF($A$27:$A$36,B87,C27:$C$36)</f>
        <v>0</v>
      </c>
      <c r="D87" s="39" t="str">
        <f t="shared" si="8"/>
        <v/>
      </c>
      <c r="E87" s="133" t="str">
        <f>IF(C87&gt;H12,"OVER CAP","")</f>
        <v/>
      </c>
      <c r="G87" s="8"/>
    </row>
    <row r="88" spans="1:14" x14ac:dyDescent="0.25">
      <c r="A88" s="7"/>
      <c r="B88" t="s">
        <v>42</v>
      </c>
      <c r="C88" s="15">
        <f>SUMIF($A$27:$A$36,B88,C27:$C$36)</f>
        <v>0</v>
      </c>
      <c r="D88" s="39" t="str">
        <f t="shared" si="8"/>
        <v/>
      </c>
      <c r="E88" s="133" t="str">
        <f>IF(C88&gt;K12,"OVER CAP","")</f>
        <v/>
      </c>
      <c r="G88" s="8"/>
    </row>
    <row r="89" spans="1:14" x14ac:dyDescent="0.25">
      <c r="A89" s="7"/>
      <c r="B89" t="s">
        <v>119</v>
      </c>
      <c r="C89" s="15">
        <f>SUMIF($A$27:$A$36,"June",C27:$C$36)+SUMIF($A$27:$A$36,"September",C27:$C$36)</f>
        <v>0</v>
      </c>
      <c r="D89" s="39" t="str">
        <f t="shared" si="8"/>
        <v/>
      </c>
      <c r="E89" s="133"/>
      <c r="G89" s="8"/>
    </row>
    <row r="90" spans="1:14" x14ac:dyDescent="0.25">
      <c r="B90" t="s">
        <v>465</v>
      </c>
      <c r="C90" s="15" t="e">
        <f>SUM(C27:C36)+K41</f>
        <v>#VALUE!</v>
      </c>
      <c r="D90" s="39" t="e">
        <f>IF(C90&gt;3,"OVER CAP","")</f>
        <v>#VALUE!</v>
      </c>
      <c r="E90" s="133"/>
      <c r="G90" s="8"/>
    </row>
    <row r="91" spans="1:14" ht="5.25" customHeight="1" x14ac:dyDescent="0.25">
      <c r="A91" s="130"/>
      <c r="C91" s="15"/>
      <c r="D91" s="39"/>
      <c r="E91" s="131"/>
      <c r="G91" s="8"/>
    </row>
    <row r="92" spans="1:14" x14ac:dyDescent="0.25">
      <c r="A92" s="9"/>
      <c r="B92" s="134" t="s">
        <v>246</v>
      </c>
      <c r="C92" s="135"/>
      <c r="D92" s="60"/>
      <c r="E92" s="10"/>
      <c r="F92" s="10"/>
      <c r="G92" s="11"/>
    </row>
    <row r="94" spans="1:14" x14ac:dyDescent="0.25">
      <c r="A94" s="158" t="s">
        <v>65</v>
      </c>
      <c r="B94" s="157" t="s">
        <v>280</v>
      </c>
      <c r="C94" s="157"/>
      <c r="D94" s="157"/>
      <c r="E94" s="157"/>
      <c r="F94" s="157"/>
      <c r="G94" s="157"/>
      <c r="H94" s="157"/>
      <c r="I94" s="157"/>
      <c r="J94" s="157"/>
      <c r="K94" s="157"/>
      <c r="L94" s="157"/>
      <c r="M94" s="157"/>
      <c r="N94" s="157"/>
    </row>
    <row r="95" spans="1:14" ht="8.25" customHeight="1" x14ac:dyDescent="0.25"/>
    <row r="96" spans="1:14" ht="52.5" customHeight="1" x14ac:dyDescent="0.25">
      <c r="A96" s="160" t="s">
        <v>266</v>
      </c>
      <c r="B96" s="320"/>
      <c r="C96" s="321"/>
      <c r="D96" s="321"/>
      <c r="E96" s="321"/>
      <c r="F96" s="321"/>
      <c r="G96" s="321"/>
      <c r="H96" s="321"/>
      <c r="I96" s="321"/>
      <c r="J96" s="321"/>
      <c r="K96" s="321"/>
      <c r="L96" s="321"/>
      <c r="M96" s="321"/>
      <c r="N96" s="322"/>
    </row>
    <row r="97" spans="1:14" ht="8.25" customHeight="1" x14ac:dyDescent="0.25"/>
    <row r="98" spans="1:14" ht="25.5" customHeight="1" x14ac:dyDescent="0.25">
      <c r="B98" s="4" t="s">
        <v>66</v>
      </c>
      <c r="C98" s="330"/>
      <c r="D98" s="330"/>
      <c r="E98" s="330"/>
      <c r="F98" s="330"/>
      <c r="G98" s="330"/>
      <c r="I98" s="331"/>
      <c r="J98" s="331"/>
    </row>
    <row r="99" spans="1:14" x14ac:dyDescent="0.25">
      <c r="D99" s="29" t="s">
        <v>281</v>
      </c>
      <c r="J99" s="29" t="s">
        <v>67</v>
      </c>
    </row>
    <row r="100" spans="1:14" x14ac:dyDescent="0.25">
      <c r="D100" s="29"/>
      <c r="J100" s="29"/>
    </row>
    <row r="101" spans="1:14" x14ac:dyDescent="0.25">
      <c r="A101" s="158" t="s">
        <v>268</v>
      </c>
      <c r="B101" s="157" t="s">
        <v>441</v>
      </c>
      <c r="C101" s="157"/>
      <c r="D101" s="157"/>
      <c r="E101" s="157"/>
      <c r="F101" s="157"/>
      <c r="G101" s="157"/>
      <c r="H101" s="157"/>
      <c r="I101" s="157"/>
      <c r="J101" s="157"/>
      <c r="K101" s="157"/>
      <c r="L101" s="157"/>
      <c r="M101" s="157"/>
      <c r="N101" s="157"/>
    </row>
    <row r="102" spans="1:14" ht="7.5" customHeight="1" x14ac:dyDescent="0.25">
      <c r="D102" s="29"/>
      <c r="J102" s="29"/>
    </row>
    <row r="103" spans="1:14" ht="43.5" customHeight="1" x14ac:dyDescent="0.25">
      <c r="A103" s="160" t="s">
        <v>266</v>
      </c>
      <c r="B103" s="320"/>
      <c r="C103" s="321"/>
      <c r="D103" s="321"/>
      <c r="E103" s="321"/>
      <c r="F103" s="321"/>
      <c r="G103" s="321"/>
      <c r="H103" s="321"/>
      <c r="I103" s="321"/>
      <c r="J103" s="321"/>
      <c r="K103" s="321"/>
      <c r="L103" s="321"/>
      <c r="M103" s="321"/>
      <c r="N103" s="322"/>
    </row>
    <row r="104" spans="1:14" ht="10.5" customHeight="1" x14ac:dyDescent="0.25">
      <c r="D104" s="29"/>
      <c r="J104" s="29"/>
    </row>
    <row r="105" spans="1:14" ht="24" customHeight="1" x14ac:dyDescent="0.25">
      <c r="B105" s="4" t="s">
        <v>442</v>
      </c>
      <c r="C105" s="330"/>
      <c r="D105" s="330"/>
      <c r="E105" s="330"/>
      <c r="F105" s="330"/>
      <c r="G105" s="330"/>
      <c r="I105" s="331"/>
      <c r="J105" s="331"/>
    </row>
    <row r="106" spans="1:14" x14ac:dyDescent="0.25">
      <c r="A106" s="30"/>
      <c r="B106" s="30"/>
      <c r="C106" s="30"/>
      <c r="D106" s="217" t="s">
        <v>447</v>
      </c>
      <c r="E106" s="30"/>
      <c r="F106" s="30"/>
      <c r="G106" s="30"/>
      <c r="H106" s="30"/>
      <c r="I106" s="30"/>
      <c r="J106" s="29" t="s">
        <v>67</v>
      </c>
      <c r="K106" s="30"/>
      <c r="L106" s="30"/>
      <c r="M106" s="30"/>
      <c r="N106" s="30"/>
    </row>
    <row r="108" spans="1:14" x14ac:dyDescent="0.25">
      <c r="A108" s="323" t="s">
        <v>68</v>
      </c>
      <c r="B108" s="323"/>
      <c r="C108" s="323"/>
      <c r="D108" s="323"/>
      <c r="E108" s="323"/>
      <c r="F108" s="323"/>
      <c r="G108" s="323"/>
      <c r="H108" s="323"/>
      <c r="I108" s="323"/>
      <c r="J108" s="323"/>
      <c r="K108" s="323"/>
      <c r="L108" s="323"/>
      <c r="M108" s="323"/>
      <c r="N108" s="323"/>
    </row>
    <row r="109" spans="1:14" x14ac:dyDescent="0.25">
      <c r="A109" t="s">
        <v>69</v>
      </c>
      <c r="B109" s="218">
        <f>I7</f>
        <v>0</v>
      </c>
      <c r="C109" t="s">
        <v>70</v>
      </c>
      <c r="D109" s="6" t="e">
        <f>VLOOKUP(I5,Lookup!$E$23:$G$37,3,0)</f>
        <v>#N/A</v>
      </c>
      <c r="E109" t="s">
        <v>71</v>
      </c>
      <c r="F109" s="98" t="s">
        <v>73</v>
      </c>
      <c r="H109" s="4" t="s">
        <v>72</v>
      </c>
      <c r="I109" s="314"/>
      <c r="J109" s="314"/>
      <c r="K109" s="4" t="s">
        <v>326</v>
      </c>
      <c r="L109" s="202">
        <f>VLOOKUP(F109,Lookup!$H$2:$I$23,2,0)</f>
        <v>500420</v>
      </c>
    </row>
    <row r="110" spans="1:14" ht="7.5" customHeight="1" x14ac:dyDescent="0.25"/>
    <row r="111" spans="1:14" ht="7.5" customHeight="1" x14ac:dyDescent="0.25"/>
    <row r="112" spans="1:14" x14ac:dyDescent="0.25">
      <c r="B112" s="4" t="s">
        <v>100</v>
      </c>
      <c r="C112" s="315"/>
      <c r="D112" s="315"/>
      <c r="E112" s="315"/>
      <c r="F112" s="315"/>
      <c r="G112" s="4" t="s">
        <v>67</v>
      </c>
      <c r="H112" s="316"/>
      <c r="I112" s="316"/>
      <c r="J112" s="316"/>
    </row>
    <row r="114" spans="1:14" ht="15" customHeight="1" x14ac:dyDescent="0.25">
      <c r="A114" s="2" t="s">
        <v>101</v>
      </c>
      <c r="B114" s="31" t="s">
        <v>102</v>
      </c>
      <c r="C114" s="328" t="s">
        <v>103</v>
      </c>
      <c r="D114" s="328"/>
      <c r="E114" s="328"/>
      <c r="F114" s="328"/>
      <c r="G114" s="328"/>
      <c r="H114" s="328"/>
      <c r="I114" s="328"/>
      <c r="J114" s="328"/>
      <c r="K114" s="328"/>
      <c r="L114" s="328"/>
      <c r="M114" s="328"/>
      <c r="N114" s="328"/>
    </row>
    <row r="115" spans="1:14" x14ac:dyDescent="0.25">
      <c r="B115" s="99"/>
      <c r="C115" s="326"/>
      <c r="D115" s="326"/>
      <c r="E115" s="326"/>
      <c r="F115" s="326"/>
      <c r="G115" s="326"/>
      <c r="H115" s="326"/>
      <c r="I115" s="326"/>
      <c r="J115" s="326"/>
      <c r="K115" s="326"/>
      <c r="L115" s="326"/>
      <c r="M115" s="326"/>
      <c r="N115" s="326"/>
    </row>
    <row r="116" spans="1:14" x14ac:dyDescent="0.25">
      <c r="B116" s="99"/>
      <c r="C116" s="326"/>
      <c r="D116" s="326"/>
      <c r="E116" s="326"/>
      <c r="F116" s="326"/>
      <c r="G116" s="326"/>
      <c r="H116" s="326"/>
      <c r="I116" s="326"/>
      <c r="J116" s="326"/>
      <c r="K116" s="326"/>
      <c r="L116" s="326"/>
      <c r="M116" s="326"/>
      <c r="N116" s="326"/>
    </row>
    <row r="117" spans="1:14" x14ac:dyDescent="0.25">
      <c r="B117" s="99"/>
      <c r="C117" s="326"/>
      <c r="D117" s="326"/>
      <c r="E117" s="326"/>
      <c r="F117" s="326"/>
      <c r="G117" s="326"/>
      <c r="H117" s="326"/>
      <c r="I117" s="326"/>
      <c r="J117" s="326"/>
      <c r="K117" s="326"/>
      <c r="L117" s="326"/>
      <c r="M117" s="326"/>
      <c r="N117" s="326"/>
    </row>
    <row r="118" spans="1:14" x14ac:dyDescent="0.25">
      <c r="B118" s="99"/>
      <c r="C118" s="326"/>
      <c r="D118" s="326"/>
      <c r="E118" s="326"/>
      <c r="F118" s="326"/>
      <c r="G118" s="326"/>
      <c r="H118" s="326"/>
      <c r="I118" s="326"/>
      <c r="J118" s="326"/>
      <c r="K118" s="326"/>
      <c r="L118" s="326"/>
      <c r="M118" s="326"/>
      <c r="N118" s="326"/>
    </row>
    <row r="119" spans="1:14" x14ac:dyDescent="0.25">
      <c r="B119" s="99"/>
      <c r="C119" s="326"/>
      <c r="D119" s="326"/>
      <c r="E119" s="326"/>
      <c r="F119" s="326"/>
      <c r="G119" s="326"/>
      <c r="H119" s="326"/>
      <c r="I119" s="326"/>
      <c r="J119" s="326"/>
      <c r="K119" s="326"/>
      <c r="L119" s="326"/>
      <c r="M119" s="326"/>
      <c r="N119" s="326"/>
    </row>
    <row r="120" spans="1:14" x14ac:dyDescent="0.25">
      <c r="B120" s="99"/>
      <c r="C120" s="326"/>
      <c r="D120" s="326"/>
      <c r="E120" s="326"/>
      <c r="F120" s="326"/>
      <c r="G120" s="326"/>
      <c r="H120" s="326"/>
      <c r="I120" s="326"/>
      <c r="J120" s="326"/>
      <c r="K120" s="326"/>
      <c r="L120" s="326"/>
      <c r="M120" s="326"/>
      <c r="N120" s="326"/>
    </row>
  </sheetData>
  <sheetProtection algorithmName="SHA-512" hashValue="PzcQJ9bFiOa2gXWNuC0WToMxMFtcLFahrih3HmFrADPX13AY6j5BM/LAjn9Rwr8Swag5QzjXj2PJXMgvRuXOVw==" saltValue="fr+7Gx8bgil6lDOTLXKyKA==" spinCount="100000" sheet="1" objects="1" scenarios="1"/>
  <mergeCells count="30">
    <mergeCell ref="A1:N1"/>
    <mergeCell ref="A2:N2"/>
    <mergeCell ref="A3:N3"/>
    <mergeCell ref="B5:C5"/>
    <mergeCell ref="E5:G5"/>
    <mergeCell ref="I5:K5"/>
    <mergeCell ref="I109:J109"/>
    <mergeCell ref="B7:C7"/>
    <mergeCell ref="B14:N14"/>
    <mergeCell ref="A38:N38"/>
    <mergeCell ref="C49:G49"/>
    <mergeCell ref="I49:J49"/>
    <mergeCell ref="I60:J60"/>
    <mergeCell ref="B103:N103"/>
    <mergeCell ref="C118:N118"/>
    <mergeCell ref="C119:N119"/>
    <mergeCell ref="C120:N120"/>
    <mergeCell ref="I7:J7"/>
    <mergeCell ref="C105:G105"/>
    <mergeCell ref="I105:J105"/>
    <mergeCell ref="C112:F112"/>
    <mergeCell ref="H112:J112"/>
    <mergeCell ref="C114:N114"/>
    <mergeCell ref="C115:N115"/>
    <mergeCell ref="C116:N116"/>
    <mergeCell ref="C117:N117"/>
    <mergeCell ref="B96:N96"/>
    <mergeCell ref="C98:G98"/>
    <mergeCell ref="I98:J98"/>
    <mergeCell ref="A108:N108"/>
  </mergeCells>
  <pageMargins left="0.5" right="0.5" top="0.5" bottom="0.5" header="0.5" footer="0.5"/>
  <pageSetup scale="22" orientation="portrait" horizontalDpi="4294967295" verticalDpi="4294967295"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0000000}">
          <x14:formula1>
            <xm:f>Lookup!$C$45:$C$88</xm:f>
          </x14:formula1>
          <xm:sqref>E5:G5</xm:sqref>
        </x14:dataValidation>
        <x14:dataValidation type="list" allowBlank="1" showInputMessage="1" showErrorMessage="1" xr:uid="{00000000-0002-0000-0200-000001000000}">
          <x14:formula1>
            <xm:f>Lookup!$A$32:$A$33</xm:f>
          </x14:formula1>
          <xm:sqref>E7</xm:sqref>
        </x14:dataValidation>
        <x14:dataValidation type="list" allowBlank="1" showInputMessage="1" showErrorMessage="1" xr:uid="{00000000-0002-0000-0200-000002000000}">
          <x14:formula1>
            <xm:f>Lookup!$C$1:$C$7</xm:f>
          </x14:formula1>
          <xm:sqref>D27:D36</xm:sqref>
        </x14:dataValidation>
        <x14:dataValidation type="list" allowBlank="1" showInputMessage="1" showErrorMessage="1" xr:uid="{00000000-0002-0000-0200-000003000000}">
          <x14:formula1>
            <xm:f>Lookup!$A$21:$A$25</xm:f>
          </x14:formula1>
          <xm:sqref>F109</xm:sqref>
        </x14:dataValidation>
        <x14:dataValidation type="list" allowBlank="1" showInputMessage="1" showErrorMessage="1" xr:uid="{00000000-0002-0000-0200-000004000000}">
          <x14:formula1>
            <xm:f>Lookup!$A$11:$A$15</xm:f>
          </x14:formula1>
          <xm:sqref>J43</xm:sqref>
        </x14:dataValidation>
        <x14:dataValidation type="list" allowBlank="1" showInputMessage="1" showErrorMessage="1" xr:uid="{00000000-0002-0000-0200-000005000000}">
          <x14:formula1>
            <xm:f>Lookup!$A$5:$A$8</xm:f>
          </x14:formula1>
          <xm:sqref>A27:A36</xm:sqref>
        </x14:dataValidation>
        <x14:dataValidation type="list" allowBlank="1" showInputMessage="1" showErrorMessage="1" xr:uid="{00000000-0002-0000-0200-000006000000}">
          <x14:formula1>
            <xm:f>Lookup!$A$1:$A$2</xm:f>
          </x14:formula1>
          <xm:sqref>E20 E24 H27:H36 I109:J109 C41 E45 I60:J60 F27:F36</xm:sqref>
        </x14:dataValidation>
        <x14:dataValidation type="list" allowBlank="1" showInputMessage="1" showErrorMessage="1" xr:uid="{00000000-0002-0000-0200-000007000000}">
          <x14:formula1>
            <xm:f>Lookup!$E$2:$E$23</xm:f>
          </x14:formula1>
          <xm:sqref>I6:K6</xm:sqref>
        </x14:dataValidation>
        <x14:dataValidation type="list" allowBlank="1" showInputMessage="1" showErrorMessage="1" xr:uid="{00000000-0002-0000-0200-000008000000}">
          <x14:formula1>
            <xm:f>Lookup!$E$26:$E$37</xm:f>
          </x14:formula1>
          <xm:sqref>I5:K5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pageSetUpPr fitToPage="1"/>
  </sheetPr>
  <dimension ref="A1:Q126"/>
  <sheetViews>
    <sheetView topLeftCell="A15" zoomScale="80" zoomScaleNormal="80" workbookViewId="0">
      <selection activeCell="D38" sqref="D38"/>
    </sheetView>
  </sheetViews>
  <sheetFormatPr defaultRowHeight="15" x14ac:dyDescent="0.25"/>
  <cols>
    <col min="1" max="1" width="14.140625" customWidth="1"/>
    <col min="2" max="2" width="35.5703125" customWidth="1"/>
    <col min="3" max="3" width="14.85546875" customWidth="1"/>
    <col min="4" max="4" width="16.28515625" customWidth="1"/>
    <col min="5" max="5" width="13.85546875" customWidth="1"/>
    <col min="6" max="6" width="14" customWidth="1"/>
    <col min="7" max="7" width="12" customWidth="1"/>
    <col min="8" max="8" width="11.85546875" customWidth="1"/>
    <col min="9" max="9" width="1.5703125" customWidth="1"/>
    <col min="10" max="10" width="13.7109375" customWidth="1"/>
    <col min="11" max="11" width="13" customWidth="1"/>
    <col min="12" max="12" width="15.7109375" customWidth="1"/>
    <col min="13" max="13" width="13.28515625" customWidth="1"/>
    <col min="14" max="14" width="15.5703125" customWidth="1"/>
    <col min="15" max="15" width="43.85546875" customWidth="1"/>
    <col min="17" max="17" width="11.28515625" bestFit="1" customWidth="1"/>
  </cols>
  <sheetData>
    <row r="1" spans="1:14" ht="20.25" customHeight="1" x14ac:dyDescent="0.35">
      <c r="A1" s="313" t="s">
        <v>0</v>
      </c>
      <c r="B1" s="313"/>
      <c r="C1" s="313"/>
      <c r="D1" s="313"/>
      <c r="E1" s="313"/>
      <c r="F1" s="313"/>
      <c r="G1" s="313"/>
      <c r="H1" s="313"/>
      <c r="I1" s="313"/>
      <c r="J1" s="313"/>
      <c r="K1" s="313"/>
      <c r="L1" s="313"/>
      <c r="M1" s="313"/>
      <c r="N1" s="313"/>
    </row>
    <row r="2" spans="1:14" ht="20.25" customHeight="1" x14ac:dyDescent="0.35">
      <c r="A2" s="313" t="s">
        <v>408</v>
      </c>
      <c r="B2" s="313"/>
      <c r="C2" s="313"/>
      <c r="D2" s="313"/>
      <c r="E2" s="313"/>
      <c r="F2" s="313"/>
      <c r="G2" s="313"/>
      <c r="H2" s="313"/>
      <c r="I2" s="313"/>
      <c r="J2" s="313"/>
      <c r="K2" s="313"/>
      <c r="L2" s="313"/>
      <c r="M2" s="313"/>
      <c r="N2" s="313"/>
    </row>
    <row r="3" spans="1:14" ht="15.75" customHeight="1" x14ac:dyDescent="0.25">
      <c r="A3" s="324" t="s">
        <v>467</v>
      </c>
      <c r="B3" s="324"/>
      <c r="C3" s="324"/>
      <c r="D3" s="324"/>
      <c r="E3" s="324"/>
      <c r="F3" s="324"/>
      <c r="G3" s="324"/>
      <c r="H3" s="324"/>
      <c r="I3" s="324"/>
      <c r="J3" s="324"/>
      <c r="K3" s="324"/>
      <c r="L3" s="324"/>
      <c r="M3" s="324"/>
      <c r="N3" s="324"/>
    </row>
    <row r="4" spans="1:14" ht="9" customHeight="1" x14ac:dyDescent="0.25"/>
    <row r="5" spans="1:14" ht="19.5" customHeight="1" x14ac:dyDescent="0.25">
      <c r="A5" s="27" t="s">
        <v>1</v>
      </c>
      <c r="B5" s="338"/>
      <c r="C5" s="338"/>
      <c r="D5" s="27" t="s">
        <v>2</v>
      </c>
      <c r="E5" s="338"/>
      <c r="F5" s="338"/>
      <c r="G5" s="338"/>
      <c r="H5" s="27" t="s">
        <v>3</v>
      </c>
      <c r="I5" s="338"/>
      <c r="J5" s="338"/>
      <c r="K5" s="338"/>
    </row>
    <row r="6" spans="1:14" ht="6.75" customHeight="1" x14ac:dyDescent="0.25">
      <c r="A6" s="4"/>
      <c r="B6" s="21"/>
      <c r="C6" s="21"/>
      <c r="E6" s="21"/>
      <c r="F6" s="21"/>
      <c r="G6" s="21"/>
      <c r="I6" s="21"/>
      <c r="J6" s="21"/>
      <c r="K6" s="21"/>
    </row>
    <row r="7" spans="1:14" ht="18.75" customHeight="1" x14ac:dyDescent="0.25">
      <c r="A7" s="27" t="s">
        <v>267</v>
      </c>
      <c r="B7" s="338"/>
      <c r="C7" s="338"/>
      <c r="D7" s="27" t="s">
        <v>125</v>
      </c>
      <c r="E7" s="4" t="s">
        <v>126</v>
      </c>
      <c r="F7" s="253"/>
      <c r="G7" s="4" t="s">
        <v>127</v>
      </c>
      <c r="H7" s="253"/>
      <c r="J7" s="4" t="s">
        <v>128</v>
      </c>
      <c r="K7" s="253"/>
      <c r="L7" s="4" t="s">
        <v>106</v>
      </c>
      <c r="M7" s="228">
        <f>F7+H7+K7</f>
        <v>0</v>
      </c>
    </row>
    <row r="8" spans="1:14" ht="7.5" customHeight="1" x14ac:dyDescent="0.25">
      <c r="A8" s="27"/>
      <c r="B8" s="54"/>
      <c r="C8" s="54"/>
      <c r="D8" s="4"/>
      <c r="E8" s="4"/>
      <c r="F8" s="181"/>
      <c r="G8" s="4"/>
      <c r="H8" s="181"/>
      <c r="J8" s="4"/>
      <c r="K8" s="181"/>
      <c r="L8" s="4"/>
      <c r="M8" s="38"/>
    </row>
    <row r="9" spans="1:14" ht="18.75" customHeight="1" x14ac:dyDescent="0.25">
      <c r="A9" s="27" t="s">
        <v>265</v>
      </c>
      <c r="B9" s="254"/>
      <c r="C9" s="39" t="str">
        <f>IF(B9="Revision","Revisions require a comment in section 3 explaining the change","")</f>
        <v/>
      </c>
      <c r="D9" s="27" t="s">
        <v>432</v>
      </c>
      <c r="E9" s="336"/>
      <c r="F9" s="336"/>
      <c r="G9" s="4"/>
      <c r="H9" s="181"/>
      <c r="J9" s="4"/>
      <c r="K9" s="181"/>
      <c r="L9" s="4"/>
      <c r="M9" s="38"/>
    </row>
    <row r="10" spans="1:14" ht="9" customHeight="1" x14ac:dyDescent="0.25"/>
    <row r="11" spans="1:14" x14ac:dyDescent="0.25">
      <c r="A11" t="s">
        <v>4</v>
      </c>
    </row>
    <row r="12" spans="1:14" s="37" customFormat="1" ht="19.5" customHeight="1" x14ac:dyDescent="0.25">
      <c r="B12" s="37" t="s">
        <v>44</v>
      </c>
    </row>
    <row r="13" spans="1:14" s="37" customFormat="1" ht="17.25" customHeight="1" x14ac:dyDescent="0.25">
      <c r="B13" s="37" t="s">
        <v>122</v>
      </c>
    </row>
    <row r="14" spans="1:14" s="37" customFormat="1" ht="17.25" customHeight="1" x14ac:dyDescent="0.25">
      <c r="B14" s="37" t="s">
        <v>121</v>
      </c>
      <c r="C14" s="178" t="s">
        <v>400</v>
      </c>
      <c r="D14" s="61">
        <v>0.52629999999999999</v>
      </c>
      <c r="E14" s="178" t="s">
        <v>401</v>
      </c>
      <c r="F14" s="61">
        <v>1.2104999999999999</v>
      </c>
      <c r="G14" s="178" t="s">
        <v>402</v>
      </c>
      <c r="H14" s="61">
        <v>1.1578999999999999</v>
      </c>
      <c r="J14" s="178" t="s">
        <v>403</v>
      </c>
      <c r="K14" s="61">
        <v>0.78949999999999998</v>
      </c>
      <c r="L14" s="183"/>
    </row>
    <row r="15" spans="1:14" s="37" customFormat="1" ht="19.5" customHeight="1" x14ac:dyDescent="0.25">
      <c r="B15" s="177" t="s">
        <v>135</v>
      </c>
    </row>
    <row r="16" spans="1:14" s="37" customFormat="1" ht="31.5" customHeight="1" x14ac:dyDescent="0.25">
      <c r="B16" s="318" t="s">
        <v>136</v>
      </c>
      <c r="C16" s="318"/>
      <c r="D16" s="318"/>
      <c r="E16" s="318"/>
      <c r="F16" s="318"/>
      <c r="G16" s="318"/>
      <c r="H16" s="318"/>
      <c r="I16" s="318"/>
      <c r="J16" s="318"/>
      <c r="K16" s="318"/>
      <c r="L16" s="318"/>
      <c r="M16" s="318"/>
      <c r="N16" s="318"/>
    </row>
    <row r="17" spans="1:17" ht="7.5" customHeight="1" x14ac:dyDescent="0.25"/>
    <row r="18" spans="1:17" x14ac:dyDescent="0.25">
      <c r="A18" s="158" t="s">
        <v>5</v>
      </c>
      <c r="B18" s="157" t="s">
        <v>6</v>
      </c>
      <c r="C18" s="157"/>
      <c r="D18" s="159" t="s">
        <v>7</v>
      </c>
      <c r="E18" s="157"/>
      <c r="F18" s="157"/>
      <c r="G18" s="157"/>
      <c r="H18" s="157"/>
      <c r="I18" s="157"/>
      <c r="J18" s="157"/>
      <c r="K18" s="157"/>
      <c r="L18" s="157"/>
      <c r="M18" s="157"/>
      <c r="N18" s="157"/>
    </row>
    <row r="19" spans="1:17" ht="7.5" customHeight="1" x14ac:dyDescent="0.25"/>
    <row r="20" spans="1:17" ht="15.75" x14ac:dyDescent="0.25">
      <c r="B20" t="s">
        <v>409</v>
      </c>
      <c r="E20" s="254"/>
      <c r="F20" s="35" t="str">
        <f>IF(E20="No", "PLEASE USE SUMMER SALARY FORM","")</f>
        <v/>
      </c>
    </row>
    <row r="21" spans="1:17" ht="7.5" customHeight="1" x14ac:dyDescent="0.25"/>
    <row r="22" spans="1:17" x14ac:dyDescent="0.25">
      <c r="B22" s="4" t="s">
        <v>8</v>
      </c>
      <c r="C22" s="255"/>
      <c r="E22" t="s">
        <v>9</v>
      </c>
      <c r="F22" s="233">
        <f>C22/9</f>
        <v>0</v>
      </c>
      <c r="H22" t="s">
        <v>124</v>
      </c>
      <c r="J22" s="253"/>
      <c r="L22" s="54" t="s">
        <v>146</v>
      </c>
      <c r="M22" s="229">
        <f>C22+J22</f>
        <v>0</v>
      </c>
      <c r="N22" s="25"/>
    </row>
    <row r="23" spans="1:17" ht="14.25" customHeight="1" x14ac:dyDescent="0.25">
      <c r="J23" s="180" t="s">
        <v>306</v>
      </c>
    </row>
    <row r="24" spans="1:17" ht="15" hidden="1" customHeight="1" x14ac:dyDescent="0.25">
      <c r="C24" s="4" t="s">
        <v>129</v>
      </c>
      <c r="D24" s="33">
        <f>C22*F7</f>
        <v>0</v>
      </c>
      <c r="E24" s="4" t="s">
        <v>132</v>
      </c>
      <c r="F24" s="55">
        <f>D24/9</f>
        <v>0</v>
      </c>
      <c r="I24" s="4" t="s">
        <v>137</v>
      </c>
      <c r="J24" s="34">
        <f>(D24+J22)/9</f>
        <v>0</v>
      </c>
      <c r="L24" s="4"/>
      <c r="M24" s="38"/>
    </row>
    <row r="25" spans="1:17" ht="15" hidden="1" customHeight="1" x14ac:dyDescent="0.25">
      <c r="C25" s="4" t="s">
        <v>130</v>
      </c>
      <c r="D25" s="33">
        <f>C22*H7</f>
        <v>0</v>
      </c>
      <c r="E25" s="4" t="s">
        <v>133</v>
      </c>
      <c r="F25" s="55">
        <f t="shared" ref="F25:F26" si="0">D25/9</f>
        <v>0</v>
      </c>
      <c r="L25" s="4"/>
      <c r="M25" s="38"/>
    </row>
    <row r="26" spans="1:17" ht="15" hidden="1" customHeight="1" x14ac:dyDescent="0.25">
      <c r="C26" s="4" t="s">
        <v>131</v>
      </c>
      <c r="D26" s="33">
        <f>C22*K7</f>
        <v>0</v>
      </c>
      <c r="E26" s="4" t="s">
        <v>134</v>
      </c>
      <c r="F26" s="55">
        <f t="shared" si="0"/>
        <v>0</v>
      </c>
      <c r="I26" s="4" t="s">
        <v>142</v>
      </c>
      <c r="J26" s="56">
        <f>J24+F25+F26</f>
        <v>0</v>
      </c>
    </row>
    <row r="27" spans="1:17" ht="7.5" hidden="1" customHeight="1" x14ac:dyDescent="0.25"/>
    <row r="28" spans="1:17" x14ac:dyDescent="0.25">
      <c r="B28" t="s">
        <v>433</v>
      </c>
      <c r="E28" s="254"/>
      <c r="L28" t="s">
        <v>147</v>
      </c>
      <c r="M28" s="229">
        <f>D30+J22</f>
        <v>0</v>
      </c>
    </row>
    <row r="29" spans="1:17" ht="7.5" customHeight="1" x14ac:dyDescent="0.25"/>
    <row r="30" spans="1:17" x14ac:dyDescent="0.25">
      <c r="B30" t="s">
        <v>10</v>
      </c>
      <c r="D30" s="255"/>
      <c r="F30" t="s">
        <v>9</v>
      </c>
      <c r="G30" s="233">
        <f>D30/9</f>
        <v>0</v>
      </c>
      <c r="L30" s="4" t="s">
        <v>144</v>
      </c>
      <c r="M30" s="230">
        <f>G30*3</f>
        <v>0</v>
      </c>
    </row>
    <row r="31" spans="1:17" ht="7.5" customHeight="1" x14ac:dyDescent="0.25"/>
    <row r="32" spans="1:17" ht="15.75" customHeight="1" x14ac:dyDescent="0.25">
      <c r="C32" s="4" t="s">
        <v>129</v>
      </c>
      <c r="D32" s="234">
        <f>D30*F7</f>
        <v>0</v>
      </c>
      <c r="E32" s="4" t="s">
        <v>132</v>
      </c>
      <c r="F32" s="231">
        <f>D32/9</f>
        <v>0</v>
      </c>
      <c r="I32" s="4" t="s">
        <v>137</v>
      </c>
      <c r="J32" s="232">
        <f>(D32+J22)/9</f>
        <v>0</v>
      </c>
      <c r="L32" s="4" t="s">
        <v>138</v>
      </c>
      <c r="M32" s="231">
        <f>J32-F32</f>
        <v>0</v>
      </c>
      <c r="Q32" s="38"/>
    </row>
    <row r="33" spans="1:15" ht="15.75" customHeight="1" x14ac:dyDescent="0.25">
      <c r="C33" s="4" t="s">
        <v>130</v>
      </c>
      <c r="D33" s="234">
        <f>D30*H7</f>
        <v>0</v>
      </c>
      <c r="E33" s="4" t="s">
        <v>133</v>
      </c>
      <c r="F33" s="231">
        <f t="shared" ref="F33:F34" si="1">D33/9</f>
        <v>0</v>
      </c>
      <c r="L33" s="4" t="s">
        <v>139</v>
      </c>
      <c r="M33" s="231">
        <f>M32*3</f>
        <v>0</v>
      </c>
    </row>
    <row r="34" spans="1:15" ht="15.75" customHeight="1" x14ac:dyDescent="0.25">
      <c r="C34" s="4" t="s">
        <v>131</v>
      </c>
      <c r="D34" s="234">
        <f>D30*K7</f>
        <v>0</v>
      </c>
      <c r="E34" s="4" t="s">
        <v>134</v>
      </c>
      <c r="F34" s="231">
        <f t="shared" si="1"/>
        <v>0</v>
      </c>
      <c r="I34" s="4" t="s">
        <v>142</v>
      </c>
      <c r="J34" s="228">
        <f>J32+F33+F34</f>
        <v>0</v>
      </c>
      <c r="L34" s="4" t="s">
        <v>145</v>
      </c>
      <c r="M34" s="230">
        <f>M30+M33</f>
        <v>0</v>
      </c>
    </row>
    <row r="35" spans="1:15" ht="15.75" customHeight="1" x14ac:dyDescent="0.25">
      <c r="C35" s="4"/>
      <c r="D35" s="182"/>
      <c r="E35" s="4"/>
      <c r="F35" s="38"/>
      <c r="I35" s="4"/>
      <c r="J35" s="38"/>
      <c r="L35" s="4" t="s">
        <v>305</v>
      </c>
      <c r="M35" s="230">
        <f>M28+M34</f>
        <v>0</v>
      </c>
      <c r="N35" s="180" t="s">
        <v>307</v>
      </c>
    </row>
    <row r="36" spans="1:15" ht="7.5" customHeight="1" x14ac:dyDescent="0.25"/>
    <row r="37" spans="1:15" s="1" customFormat="1" ht="63" customHeight="1" x14ac:dyDescent="0.25">
      <c r="A37" s="12" t="s">
        <v>12</v>
      </c>
      <c r="B37" s="13" t="s">
        <v>411</v>
      </c>
      <c r="C37" s="13" t="s">
        <v>13</v>
      </c>
      <c r="D37" s="13" t="s">
        <v>50</v>
      </c>
      <c r="E37" s="13" t="s">
        <v>14</v>
      </c>
      <c r="F37" s="13" t="s">
        <v>15</v>
      </c>
      <c r="G37" s="13" t="s">
        <v>262</v>
      </c>
      <c r="H37" s="13" t="s">
        <v>45</v>
      </c>
      <c r="I37" s="206"/>
      <c r="J37" s="13" t="s">
        <v>46</v>
      </c>
      <c r="K37" s="13" t="s">
        <v>468</v>
      </c>
      <c r="L37" s="13" t="s">
        <v>16</v>
      </c>
      <c r="M37" s="13" t="s">
        <v>405</v>
      </c>
      <c r="N37" s="13" t="s">
        <v>17</v>
      </c>
      <c r="O37" s="14" t="s">
        <v>397</v>
      </c>
    </row>
    <row r="38" spans="1:15" ht="29.25" customHeight="1" x14ac:dyDescent="0.25">
      <c r="A38" s="259"/>
      <c r="B38" s="298"/>
      <c r="C38" s="261"/>
      <c r="D38" s="260"/>
      <c r="E38" s="262"/>
      <c r="F38" s="260"/>
      <c r="G38" s="235">
        <f>IF(D38="NIH",Lookup!$M$2,IF(D38="NSF",Lookup!$L$17,IF(D38="NIFA",Lookup!$M$22,IF(D38="Other",$C$50,0))))</f>
        <v>0</v>
      </c>
      <c r="H38" s="256"/>
      <c r="J38" s="238">
        <f>C38*$J$34</f>
        <v>0</v>
      </c>
      <c r="K38" s="283">
        <f>J38*0.079</f>
        <v>0</v>
      </c>
      <c r="L38" s="239" t="str">
        <f t="shared" ref="L38:L47" si="2">IF(AND(G38&gt;0,J38&gt;(G38*C38)),"Yes","No")</f>
        <v>No</v>
      </c>
      <c r="M38" s="240">
        <f t="shared" ref="M38:M47" si="3">IF(L38="Yes",J38-N38,J38)</f>
        <v>0</v>
      </c>
      <c r="N38" s="235">
        <f t="shared" ref="N38:N47" si="4">IF(L38="Yes",J38-(G38*C38),0)</f>
        <v>0</v>
      </c>
      <c r="O38" s="301"/>
    </row>
    <row r="39" spans="1:15" ht="29.25" customHeight="1" x14ac:dyDescent="0.25">
      <c r="A39" s="263"/>
      <c r="B39" s="299"/>
      <c r="C39" s="265"/>
      <c r="D39" s="264"/>
      <c r="E39" s="266"/>
      <c r="F39" s="264"/>
      <c r="G39" s="236">
        <f>IF(D39="NIH",Lookup!$M$2,IF(D39="NSF",Lookup!$L$17,IF(D39="NIFA",Lookup!$M$22,IF(D39="Other",$C$50,0))))</f>
        <v>0</v>
      </c>
      <c r="H39" s="257"/>
      <c r="J39" s="241">
        <f>C39*$J$34</f>
        <v>0</v>
      </c>
      <c r="K39" s="284">
        <f>J39*0.079</f>
        <v>0</v>
      </c>
      <c r="L39" s="242" t="str">
        <f t="shared" si="2"/>
        <v>No</v>
      </c>
      <c r="M39" s="243">
        <f t="shared" si="3"/>
        <v>0</v>
      </c>
      <c r="N39" s="236">
        <f t="shared" si="4"/>
        <v>0</v>
      </c>
      <c r="O39" s="302"/>
    </row>
    <row r="40" spans="1:15" ht="29.25" customHeight="1" x14ac:dyDescent="0.25">
      <c r="A40" s="263"/>
      <c r="B40" s="299"/>
      <c r="C40" s="265"/>
      <c r="D40" s="264"/>
      <c r="E40" s="266"/>
      <c r="F40" s="264"/>
      <c r="G40" s="236">
        <f>IF(D40="NIH",Lookup!$M$2,IF(D40="NSF",Lookup!$L$17,IF(D40="NIFA",Lookup!$M$22,IF(D40="Other",$C$50,0))))</f>
        <v>0</v>
      </c>
      <c r="H40" s="257"/>
      <c r="J40" s="241">
        <f t="shared" ref="J40:J47" si="5">C40*$J$34</f>
        <v>0</v>
      </c>
      <c r="K40" s="284">
        <f t="shared" ref="K40:K47" si="6">J40*0.079</f>
        <v>0</v>
      </c>
      <c r="L40" s="242" t="str">
        <f t="shared" si="2"/>
        <v>No</v>
      </c>
      <c r="M40" s="243">
        <f t="shared" si="3"/>
        <v>0</v>
      </c>
      <c r="N40" s="236">
        <f t="shared" si="4"/>
        <v>0</v>
      </c>
      <c r="O40" s="302"/>
    </row>
    <row r="41" spans="1:15" ht="29.25" customHeight="1" x14ac:dyDescent="0.25">
      <c r="A41" s="263"/>
      <c r="B41" s="299"/>
      <c r="C41" s="265"/>
      <c r="D41" s="264"/>
      <c r="E41" s="266"/>
      <c r="F41" s="264"/>
      <c r="G41" s="236">
        <f>IF(D41="NIH",Lookup!$M$2,IF(D41="NSF",Lookup!$L$17,IF(D41="NIFA",Lookup!$M$22,IF(D41="Other",$C$50,0))))</f>
        <v>0</v>
      </c>
      <c r="H41" s="257"/>
      <c r="J41" s="241">
        <f t="shared" si="5"/>
        <v>0</v>
      </c>
      <c r="K41" s="284">
        <f t="shared" si="6"/>
        <v>0</v>
      </c>
      <c r="L41" s="242" t="str">
        <f t="shared" si="2"/>
        <v>No</v>
      </c>
      <c r="M41" s="243">
        <f t="shared" si="3"/>
        <v>0</v>
      </c>
      <c r="N41" s="236">
        <f t="shared" si="4"/>
        <v>0</v>
      </c>
      <c r="O41" s="302"/>
    </row>
    <row r="42" spans="1:15" ht="29.25" customHeight="1" x14ac:dyDescent="0.25">
      <c r="A42" s="263"/>
      <c r="B42" s="299"/>
      <c r="C42" s="265"/>
      <c r="D42" s="264"/>
      <c r="E42" s="266"/>
      <c r="F42" s="264"/>
      <c r="G42" s="236">
        <f>IF(D42="NIH",Lookup!$M$2,IF(D42="NSF",Lookup!$L$17,IF(D42="NIFA",Lookup!$M$22,IF(D42="Other",$C$50,0))))</f>
        <v>0</v>
      </c>
      <c r="H42" s="257"/>
      <c r="J42" s="241">
        <f t="shared" si="5"/>
        <v>0</v>
      </c>
      <c r="K42" s="284">
        <f t="shared" si="6"/>
        <v>0</v>
      </c>
      <c r="L42" s="242" t="str">
        <f t="shared" si="2"/>
        <v>No</v>
      </c>
      <c r="M42" s="243">
        <f t="shared" si="3"/>
        <v>0</v>
      </c>
      <c r="N42" s="236">
        <f t="shared" si="4"/>
        <v>0</v>
      </c>
      <c r="O42" s="302"/>
    </row>
    <row r="43" spans="1:15" ht="29.25" customHeight="1" x14ac:dyDescent="0.25">
      <c r="A43" s="263"/>
      <c r="B43" s="299"/>
      <c r="C43" s="265"/>
      <c r="D43" s="264"/>
      <c r="E43" s="264"/>
      <c r="F43" s="264"/>
      <c r="G43" s="236">
        <f>IF(D43="NIH",Lookup!$M$2,IF(D43="NSF",Lookup!$L$17,IF(D43="NIFA",Lookup!$M$22,IF(D43="Other",$C$50,0))))</f>
        <v>0</v>
      </c>
      <c r="H43" s="257"/>
      <c r="J43" s="241">
        <f t="shared" si="5"/>
        <v>0</v>
      </c>
      <c r="K43" s="284">
        <f t="shared" si="6"/>
        <v>0</v>
      </c>
      <c r="L43" s="242" t="str">
        <f t="shared" si="2"/>
        <v>No</v>
      </c>
      <c r="M43" s="243">
        <f t="shared" si="3"/>
        <v>0</v>
      </c>
      <c r="N43" s="236">
        <f t="shared" si="4"/>
        <v>0</v>
      </c>
      <c r="O43" s="302"/>
    </row>
    <row r="44" spans="1:15" ht="29.25" customHeight="1" x14ac:dyDescent="0.25">
      <c r="A44" s="263"/>
      <c r="B44" s="299"/>
      <c r="C44" s="265"/>
      <c r="D44" s="264"/>
      <c r="E44" s="264"/>
      <c r="F44" s="264"/>
      <c r="G44" s="236">
        <f>IF(D44="NIH",Lookup!$M$2,IF(D44="NSF",Lookup!$L$17,IF(D44="NIFA",Lookup!$M$22,IF(D44="Other",$C$50,0))))</f>
        <v>0</v>
      </c>
      <c r="H44" s="257"/>
      <c r="J44" s="241">
        <f t="shared" si="5"/>
        <v>0</v>
      </c>
      <c r="K44" s="284">
        <f t="shared" si="6"/>
        <v>0</v>
      </c>
      <c r="L44" s="242" t="str">
        <f t="shared" si="2"/>
        <v>No</v>
      </c>
      <c r="M44" s="243">
        <f t="shared" si="3"/>
        <v>0</v>
      </c>
      <c r="N44" s="236">
        <f t="shared" si="4"/>
        <v>0</v>
      </c>
      <c r="O44" s="302"/>
    </row>
    <row r="45" spans="1:15" ht="29.25" customHeight="1" x14ac:dyDescent="0.25">
      <c r="A45" s="263"/>
      <c r="B45" s="299"/>
      <c r="C45" s="265"/>
      <c r="D45" s="264"/>
      <c r="E45" s="264"/>
      <c r="F45" s="264"/>
      <c r="G45" s="236">
        <f>IF(D45="NIH",Lookup!$M$2,IF(D45="NSF",Lookup!$L$17,IF(D45="NIFA",Lookup!$M$22,IF(D45="Other",$C$50,0))))</f>
        <v>0</v>
      </c>
      <c r="H45" s="257"/>
      <c r="J45" s="241">
        <f t="shared" si="5"/>
        <v>0</v>
      </c>
      <c r="K45" s="284">
        <f t="shared" si="6"/>
        <v>0</v>
      </c>
      <c r="L45" s="242" t="str">
        <f t="shared" si="2"/>
        <v>No</v>
      </c>
      <c r="M45" s="243">
        <f t="shared" si="3"/>
        <v>0</v>
      </c>
      <c r="N45" s="236">
        <f t="shared" si="4"/>
        <v>0</v>
      </c>
      <c r="O45" s="302"/>
    </row>
    <row r="46" spans="1:15" ht="29.25" customHeight="1" x14ac:dyDescent="0.25">
      <c r="A46" s="263"/>
      <c r="B46" s="299"/>
      <c r="C46" s="265"/>
      <c r="D46" s="264"/>
      <c r="E46" s="264"/>
      <c r="F46" s="264"/>
      <c r="G46" s="236">
        <f>IF(D46="NIH",Lookup!$M$2,IF(D46="NSF",Lookup!$L$17,IF(D46="NIFA",Lookup!$M$22,IF(D46="Other",$C$50,0))))</f>
        <v>0</v>
      </c>
      <c r="H46" s="257"/>
      <c r="J46" s="241">
        <f t="shared" si="5"/>
        <v>0</v>
      </c>
      <c r="K46" s="284">
        <f t="shared" si="6"/>
        <v>0</v>
      </c>
      <c r="L46" s="242" t="str">
        <f t="shared" si="2"/>
        <v>No</v>
      </c>
      <c r="M46" s="243">
        <f t="shared" si="3"/>
        <v>0</v>
      </c>
      <c r="N46" s="236">
        <f t="shared" si="4"/>
        <v>0</v>
      </c>
      <c r="O46" s="302"/>
    </row>
    <row r="47" spans="1:15" ht="29.25" customHeight="1" x14ac:dyDescent="0.25">
      <c r="A47" s="267"/>
      <c r="B47" s="300"/>
      <c r="C47" s="269"/>
      <c r="D47" s="268"/>
      <c r="E47" s="268"/>
      <c r="F47" s="268"/>
      <c r="G47" s="236">
        <f>IF(D47="NIH",Lookup!$M$2,IF(D47="NSF",Lookup!$L$17,IF(D47="NIFA",Lookup!$M$22,IF(D47="Other",$C$50,0))))</f>
        <v>0</v>
      </c>
      <c r="H47" s="258"/>
      <c r="I47" s="10"/>
      <c r="J47" s="285">
        <f t="shared" si="5"/>
        <v>0</v>
      </c>
      <c r="K47" s="286">
        <f t="shared" si="6"/>
        <v>0</v>
      </c>
      <c r="L47" s="244" t="str">
        <f t="shared" si="2"/>
        <v>No</v>
      </c>
      <c r="M47" s="245">
        <f t="shared" si="3"/>
        <v>0</v>
      </c>
      <c r="N47" s="237">
        <f t="shared" si="4"/>
        <v>0</v>
      </c>
      <c r="O47" s="303"/>
    </row>
    <row r="48" spans="1:15" ht="18.75" customHeight="1" x14ac:dyDescent="0.25">
      <c r="A48" s="277" t="s">
        <v>227</v>
      </c>
      <c r="B48" s="277"/>
      <c r="C48" s="287">
        <f>SUM(C38:C47)</f>
        <v>0</v>
      </c>
      <c r="D48" s="277"/>
      <c r="E48" s="277"/>
      <c r="F48" s="277"/>
      <c r="G48" s="278"/>
      <c r="H48" s="277"/>
      <c r="I48" s="279"/>
      <c r="J48" s="278">
        <f>SUM(J38:J47)</f>
        <v>0</v>
      </c>
      <c r="K48" s="278">
        <f>SUM(K38:K47)</f>
        <v>0</v>
      </c>
      <c r="L48" s="279"/>
      <c r="M48" s="278">
        <f>SUM(M38:M47)</f>
        <v>0</v>
      </c>
      <c r="N48" s="278">
        <f>SUM(N38:N47)</f>
        <v>0</v>
      </c>
      <c r="O48" s="280"/>
    </row>
    <row r="49" spans="1:14" ht="27.75" customHeight="1" x14ac:dyDescent="0.25">
      <c r="A49" s="333" t="s">
        <v>406</v>
      </c>
      <c r="B49" s="333"/>
      <c r="C49" s="333"/>
      <c r="D49" s="333"/>
      <c r="E49" s="333"/>
      <c r="F49" s="333"/>
      <c r="G49" s="333"/>
      <c r="H49" s="333"/>
      <c r="I49" s="333"/>
      <c r="J49" s="333"/>
      <c r="K49" s="333"/>
      <c r="L49" s="333"/>
      <c r="M49" s="333"/>
      <c r="N49" s="333"/>
    </row>
    <row r="50" spans="1:14" x14ac:dyDescent="0.25">
      <c r="A50" s="26" t="s">
        <v>52</v>
      </c>
      <c r="B50" s="24"/>
      <c r="C50" s="255"/>
    </row>
    <row r="51" spans="1:14" ht="7.5" customHeight="1" x14ac:dyDescent="0.25"/>
    <row r="52" spans="1:14" x14ac:dyDescent="0.25">
      <c r="B52" t="s">
        <v>18</v>
      </c>
      <c r="C52" s="254"/>
      <c r="D52" s="4" t="s">
        <v>438</v>
      </c>
      <c r="E52" t="s">
        <v>439</v>
      </c>
      <c r="G52" s="255"/>
      <c r="J52" s="4" t="s">
        <v>466</v>
      </c>
      <c r="K52" s="246" t="str">
        <f>IFERROR(G52/G30,"")</f>
        <v/>
      </c>
    </row>
    <row r="53" spans="1:14" ht="7.5" customHeight="1" x14ac:dyDescent="0.25"/>
    <row r="54" spans="1:14" x14ac:dyDescent="0.25">
      <c r="B54" t="s">
        <v>410</v>
      </c>
      <c r="J54" s="254"/>
      <c r="L54" s="3"/>
    </row>
    <row r="55" spans="1:14" ht="7.5" customHeight="1" x14ac:dyDescent="0.25"/>
    <row r="56" spans="1:14" x14ac:dyDescent="0.25">
      <c r="B56" t="s">
        <v>19</v>
      </c>
      <c r="E56" s="254"/>
    </row>
    <row r="57" spans="1:14" ht="7.5" customHeight="1" x14ac:dyDescent="0.25"/>
    <row r="58" spans="1:14" ht="16.5" customHeight="1" x14ac:dyDescent="0.25">
      <c r="B58" t="s">
        <v>444</v>
      </c>
    </row>
    <row r="59" spans="1:14" ht="7.5" customHeight="1" x14ac:dyDescent="0.25"/>
    <row r="60" spans="1:14" ht="22.5" customHeight="1" x14ac:dyDescent="0.25">
      <c r="A60" t="s">
        <v>20</v>
      </c>
      <c r="C60" s="336"/>
      <c r="D60" s="336"/>
      <c r="E60" s="336"/>
      <c r="F60" s="336"/>
      <c r="G60" s="336"/>
      <c r="I60" s="337"/>
      <c r="J60" s="337"/>
    </row>
    <row r="61" spans="1:14" ht="14.25" customHeight="1" x14ac:dyDescent="0.25">
      <c r="C61" s="22"/>
      <c r="D61" s="29" t="s">
        <v>308</v>
      </c>
      <c r="J61" s="29" t="s">
        <v>67</v>
      </c>
    </row>
    <row r="62" spans="1:14" ht="14.25" customHeight="1" x14ac:dyDescent="0.25">
      <c r="C62" s="23" t="s">
        <v>313</v>
      </c>
      <c r="D62" s="29"/>
      <c r="J62" s="29"/>
    </row>
    <row r="63" spans="1:14" ht="10.5" customHeight="1" x14ac:dyDescent="0.25">
      <c r="C63" s="22"/>
    </row>
    <row r="64" spans="1:14" x14ac:dyDescent="0.25">
      <c r="A64" s="23" t="s">
        <v>58</v>
      </c>
    </row>
    <row r="65" spans="1:14" ht="9" customHeight="1" x14ac:dyDescent="0.25"/>
    <row r="66" spans="1:14" x14ac:dyDescent="0.25">
      <c r="A66" s="158" t="s">
        <v>21</v>
      </c>
      <c r="B66" s="157" t="s">
        <v>109</v>
      </c>
      <c r="C66" s="157"/>
      <c r="D66" s="157"/>
      <c r="E66" s="157"/>
      <c r="F66" s="157"/>
      <c r="G66" s="157"/>
      <c r="H66" s="157"/>
      <c r="I66" s="157"/>
      <c r="J66" s="157"/>
      <c r="K66" s="157"/>
      <c r="L66" s="157"/>
      <c r="M66" s="157"/>
      <c r="N66" s="157"/>
    </row>
    <row r="67" spans="1:14" ht="6.75" customHeight="1" x14ac:dyDescent="0.25"/>
    <row r="68" spans="1:14" x14ac:dyDescent="0.25">
      <c r="A68" s="144" t="s">
        <v>115</v>
      </c>
      <c r="B68" s="145"/>
      <c r="C68" s="145"/>
      <c r="D68" s="145"/>
      <c r="E68" s="145"/>
      <c r="F68" s="145"/>
      <c r="G68" s="145"/>
      <c r="H68" s="145"/>
      <c r="I68" s="145"/>
      <c r="J68" s="145"/>
      <c r="K68" s="146"/>
    </row>
    <row r="69" spans="1:14" x14ac:dyDescent="0.25">
      <c r="A69" s="7"/>
      <c r="B69" t="s">
        <v>61</v>
      </c>
      <c r="C69" s="4" t="s">
        <v>62</v>
      </c>
      <c r="D69" s="232">
        <f>SUMIF(D38:D47,"NSF",C38:C47)</f>
        <v>0</v>
      </c>
      <c r="F69" s="4" t="s">
        <v>63</v>
      </c>
      <c r="G69" s="247">
        <f>SUMIF(D38:D47,"NSF",J38:J47)</f>
        <v>0</v>
      </c>
      <c r="K69" s="8"/>
    </row>
    <row r="70" spans="1:14" ht="7.5" customHeight="1" x14ac:dyDescent="0.25">
      <c r="A70" s="7"/>
      <c r="K70" s="8"/>
    </row>
    <row r="71" spans="1:14" x14ac:dyDescent="0.25">
      <c r="A71" s="7"/>
      <c r="B71" t="s">
        <v>59</v>
      </c>
      <c r="I71" s="336"/>
      <c r="J71" s="336"/>
      <c r="K71" s="8"/>
    </row>
    <row r="72" spans="1:14" ht="7.5" customHeight="1" x14ac:dyDescent="0.25">
      <c r="A72" s="7"/>
      <c r="K72" s="8"/>
    </row>
    <row r="73" spans="1:14" x14ac:dyDescent="0.25">
      <c r="A73" s="7"/>
      <c r="B73" t="s">
        <v>64</v>
      </c>
      <c r="F73" s="4" t="s">
        <v>104</v>
      </c>
      <c r="G73" s="255"/>
      <c r="J73" s="4" t="s">
        <v>105</v>
      </c>
      <c r="K73" s="270"/>
    </row>
    <row r="74" spans="1:14" ht="7.5" customHeight="1" x14ac:dyDescent="0.25">
      <c r="A74" s="7"/>
      <c r="K74" s="8"/>
    </row>
    <row r="75" spans="1:14" x14ac:dyDescent="0.25">
      <c r="A75" s="7"/>
      <c r="F75" s="4" t="s">
        <v>107</v>
      </c>
      <c r="G75" s="232">
        <f>G69+G73</f>
        <v>0</v>
      </c>
      <c r="J75" s="4" t="s">
        <v>106</v>
      </c>
      <c r="K75" s="249">
        <f>K73+D69</f>
        <v>0</v>
      </c>
      <c r="M75" s="36"/>
    </row>
    <row r="76" spans="1:14" x14ac:dyDescent="0.25">
      <c r="A76" s="7"/>
      <c r="K76" s="8"/>
    </row>
    <row r="77" spans="1:14" x14ac:dyDescent="0.25">
      <c r="A77" s="7"/>
      <c r="B77" t="s">
        <v>108</v>
      </c>
      <c r="G77" s="248" t="str">
        <f>IF(OR(K75&gt;2,G75&gt;Lookup!L17+0.01),"YES, OVER CAP","No")</f>
        <v>No</v>
      </c>
      <c r="K77" s="8"/>
    </row>
    <row r="78" spans="1:14" x14ac:dyDescent="0.25">
      <c r="A78" s="9"/>
      <c r="B78" s="10" t="s">
        <v>60</v>
      </c>
      <c r="C78" s="10"/>
      <c r="D78" s="10"/>
      <c r="E78" s="10"/>
      <c r="F78" s="10"/>
      <c r="G78" s="10"/>
      <c r="H78" s="10"/>
      <c r="I78" s="10"/>
      <c r="J78" s="10"/>
      <c r="K78" s="11"/>
    </row>
    <row r="80" spans="1:14" x14ac:dyDescent="0.25">
      <c r="A80" s="144" t="s">
        <v>116</v>
      </c>
      <c r="B80" s="145"/>
      <c r="C80" s="145"/>
      <c r="D80" s="145"/>
      <c r="E80" s="145"/>
      <c r="F80" s="145"/>
      <c r="G80" s="145"/>
      <c r="H80" s="146"/>
      <c r="J80" s="144" t="s">
        <v>143</v>
      </c>
      <c r="K80" s="145"/>
      <c r="L80" s="145"/>
      <c r="M80" s="145"/>
      <c r="N80" s="146"/>
    </row>
    <row r="81" spans="1:14" s="1" customFormat="1" ht="45" x14ac:dyDescent="0.25">
      <c r="A81" s="141" t="s">
        <v>114</v>
      </c>
      <c r="B81" s="136" t="s">
        <v>11</v>
      </c>
      <c r="C81" s="75" t="s">
        <v>110</v>
      </c>
      <c r="D81" s="75" t="s">
        <v>112</v>
      </c>
      <c r="E81" s="75" t="s">
        <v>111</v>
      </c>
      <c r="F81" s="75" t="s">
        <v>250</v>
      </c>
      <c r="G81" s="75" t="s">
        <v>249</v>
      </c>
      <c r="H81" s="140" t="s">
        <v>113</v>
      </c>
      <c r="J81" s="137"/>
      <c r="L81" s="4" t="s">
        <v>148</v>
      </c>
      <c r="M81" s="138">
        <f>M34</f>
        <v>0</v>
      </c>
      <c r="N81" s="139"/>
    </row>
    <row r="82" spans="1:14" x14ac:dyDescent="0.25">
      <c r="A82" s="142">
        <f>Lookup!M2</f>
        <v>18491.666666666668</v>
      </c>
      <c r="B82" s="4" t="s">
        <v>39</v>
      </c>
      <c r="C82" s="250">
        <f>SUMIFS($M$38:$M$47,$A$38:$A$47,B82,$D$38:$D$47,"NIH")</f>
        <v>0</v>
      </c>
      <c r="D82" s="251">
        <f>SUMIFS($C$38:$C$47,$A$38:$A$47,B82,$D$38:$D$47,"NIH")</f>
        <v>0</v>
      </c>
      <c r="E82" s="250">
        <f>D82*$A$82</f>
        <v>0</v>
      </c>
      <c r="F82" s="271"/>
      <c r="G82" s="230">
        <f>C82+F82</f>
        <v>0</v>
      </c>
      <c r="H82" s="40" t="str">
        <f>IF(E82&lt;G82,"OVER CAP",IF(D82&gt;1,"OVER CAP",""))</f>
        <v/>
      </c>
      <c r="J82" s="7"/>
      <c r="L82" s="4" t="s">
        <v>149</v>
      </c>
      <c r="M82" s="25">
        <f>SUM(M38:N47)</f>
        <v>0</v>
      </c>
      <c r="N82" s="40" t="str">
        <f>IF(M82=M81,"","REVIEW")</f>
        <v/>
      </c>
    </row>
    <row r="83" spans="1:14" x14ac:dyDescent="0.25">
      <c r="A83" s="7"/>
      <c r="B83" s="4" t="s">
        <v>40</v>
      </c>
      <c r="C83" s="250">
        <f>SUMIFS($M$38:$M$47,$A$38:$A$47,B83,$D$38:$D$47,"NIH")</f>
        <v>0</v>
      </c>
      <c r="D83" s="251">
        <f t="shared" ref="D83:D85" si="7">SUMIFS($C$38:$C$47,$A$38:$A$47,B83,$D$38:$D$47,"NIH")</f>
        <v>0</v>
      </c>
      <c r="E83" s="250">
        <f>D83*$A$82</f>
        <v>0</v>
      </c>
      <c r="F83" s="271"/>
      <c r="G83" s="230">
        <f>C83+F83</f>
        <v>0</v>
      </c>
      <c r="H83" s="40" t="str">
        <f>IF(E83&lt;G83,"OVER CAP",IF(D83&gt;1,"OVER CAP",""))</f>
        <v/>
      </c>
      <c r="J83" s="7"/>
      <c r="N83" s="8"/>
    </row>
    <row r="84" spans="1:14" x14ac:dyDescent="0.25">
      <c r="A84" s="7"/>
      <c r="B84" s="4" t="s">
        <v>41</v>
      </c>
      <c r="C84" s="250">
        <f>SUMIFS($M$38:$M$47,$A$38:$A$47,B84,$D$38:$D$47,"NIH")</f>
        <v>0</v>
      </c>
      <c r="D84" s="251">
        <f t="shared" si="7"/>
        <v>0</v>
      </c>
      <c r="E84" s="250">
        <f>D84*$A$82</f>
        <v>0</v>
      </c>
      <c r="F84" s="271"/>
      <c r="G84" s="230">
        <f>C84+F84</f>
        <v>0</v>
      </c>
      <c r="H84" s="40" t="str">
        <f>IF(E84&lt;G84,"OVER CAP",IF(D84&gt;1,"OVER CAP",""))</f>
        <v/>
      </c>
      <c r="J84" s="7"/>
      <c r="L84" s="4" t="s">
        <v>150</v>
      </c>
      <c r="M84" s="25">
        <f>M30</f>
        <v>0</v>
      </c>
      <c r="N84" s="8"/>
    </row>
    <row r="85" spans="1:14" x14ac:dyDescent="0.25">
      <c r="A85" s="7"/>
      <c r="B85" s="4" t="s">
        <v>42</v>
      </c>
      <c r="C85" s="250">
        <f>SUMIFS($M$38:$M$47,$A$38:$A$47,B85,$D$38:$D$47,"NIH")</f>
        <v>0</v>
      </c>
      <c r="D85" s="251">
        <f t="shared" si="7"/>
        <v>0</v>
      </c>
      <c r="E85" s="250">
        <f>D85*$A$82</f>
        <v>0</v>
      </c>
      <c r="F85" s="271"/>
      <c r="G85" s="230">
        <f>C85+F85</f>
        <v>0</v>
      </c>
      <c r="H85" s="40" t="str">
        <f>IF(E85&lt;G85,"OVER CAP",IF(D85&gt;1,"OVER CAP",""))</f>
        <v/>
      </c>
      <c r="J85" s="7"/>
      <c r="L85" s="4" t="s">
        <v>151</v>
      </c>
      <c r="M85" s="17">
        <f>SUMIF($D$38:$D$47,"General Funds",M38:M47)</f>
        <v>0</v>
      </c>
      <c r="N85" s="40" t="str">
        <f>IF(M85&lt;=M84,"","OVER BASE")</f>
        <v/>
      </c>
    </row>
    <row r="86" spans="1:14" ht="13.5" customHeight="1" x14ac:dyDescent="0.25">
      <c r="A86" s="143" t="s">
        <v>251</v>
      </c>
      <c r="B86" s="10"/>
      <c r="C86" s="10"/>
      <c r="D86" s="5"/>
      <c r="E86" s="16"/>
      <c r="F86" s="5"/>
      <c r="G86" s="60"/>
      <c r="H86" s="11"/>
      <c r="J86" s="7"/>
      <c r="L86" s="4"/>
      <c r="M86" s="17"/>
      <c r="N86" s="40"/>
    </row>
    <row r="87" spans="1:14" x14ac:dyDescent="0.25">
      <c r="J87" s="7"/>
      <c r="K87" s="4" t="s">
        <v>152</v>
      </c>
      <c r="L87" t="s">
        <v>40</v>
      </c>
      <c r="M87" s="17">
        <f>SUMIFS($M$38:$M$47,$A$38:$A$47,L87,$D$38:$D$47,"General Funds")</f>
        <v>0</v>
      </c>
      <c r="N87" s="40" t="str">
        <f>IF(M87&lt;$G$30,"","OVER BASE")</f>
        <v>OVER BASE</v>
      </c>
    </row>
    <row r="88" spans="1:14" x14ac:dyDescent="0.25">
      <c r="A88" s="144" t="s">
        <v>117</v>
      </c>
      <c r="B88" s="145"/>
      <c r="C88" s="145"/>
      <c r="D88" s="145"/>
      <c r="E88" s="146"/>
      <c r="J88" s="7"/>
      <c r="L88" t="s">
        <v>41</v>
      </c>
      <c r="M88" s="17">
        <f>SUMIFS($M$38:$M$47,$A$38:$A$47,L88,$D$38:$D$47,"General Funds")</f>
        <v>0</v>
      </c>
      <c r="N88" s="40" t="str">
        <f t="shared" ref="N88:N90" si="8">IF(M88&lt;$G$30,"","OVER BASE")</f>
        <v>OVER BASE</v>
      </c>
    </row>
    <row r="89" spans="1:14" x14ac:dyDescent="0.25">
      <c r="A89" s="7"/>
      <c r="B89" t="s">
        <v>11</v>
      </c>
      <c r="C89" t="s">
        <v>118</v>
      </c>
      <c r="D89" t="s">
        <v>120</v>
      </c>
      <c r="E89" s="8"/>
      <c r="J89" s="7"/>
      <c r="L89" t="s">
        <v>42</v>
      </c>
      <c r="M89" s="17">
        <f>SUMIFS($M$38:$M$47,$A$38:$A$47,L89,$D$38:$D$47,"General Funds")</f>
        <v>0</v>
      </c>
      <c r="N89" s="40" t="str">
        <f t="shared" si="8"/>
        <v>OVER BASE</v>
      </c>
    </row>
    <row r="90" spans="1:14" x14ac:dyDescent="0.25">
      <c r="A90" s="7"/>
      <c r="B90" t="s">
        <v>39</v>
      </c>
      <c r="C90" s="15">
        <f>SUMIF($A$38:$A$47,B90,C38:$C$47)</f>
        <v>0</v>
      </c>
      <c r="D90" s="39" t="str">
        <f>IF(C90&gt;1,"OVER CAP","")</f>
        <v/>
      </c>
      <c r="E90" s="58"/>
      <c r="J90" s="9"/>
      <c r="K90" s="10"/>
      <c r="L90" s="10" t="s">
        <v>39</v>
      </c>
      <c r="M90" s="5">
        <f>SUMIFS($M$38:$M$47,$A$38:$A$47,L90,$D$38:$D$47,"General Funds")</f>
        <v>0</v>
      </c>
      <c r="N90" s="41" t="str">
        <f t="shared" si="8"/>
        <v>OVER BASE</v>
      </c>
    </row>
    <row r="91" spans="1:14" x14ac:dyDescent="0.25">
      <c r="A91" s="7"/>
      <c r="B91" t="s">
        <v>40</v>
      </c>
      <c r="C91" s="15">
        <f>SUMIF($A$38:$A$47,B91,C38:$C$47)</f>
        <v>0</v>
      </c>
      <c r="D91" s="39" t="str">
        <f t="shared" ref="D91:D94" si="9">IF(C91&gt;1,"OVER CAP","")</f>
        <v/>
      </c>
      <c r="E91" s="58"/>
    </row>
    <row r="92" spans="1:14" x14ac:dyDescent="0.25">
      <c r="A92" s="7"/>
      <c r="B92" t="s">
        <v>41</v>
      </c>
      <c r="C92" s="15">
        <f>SUMIF($A$38:$A$47,B92,C38:$C$47)</f>
        <v>0</v>
      </c>
      <c r="D92" s="39" t="str">
        <f t="shared" si="9"/>
        <v/>
      </c>
      <c r="E92" s="58"/>
    </row>
    <row r="93" spans="1:14" x14ac:dyDescent="0.25">
      <c r="A93" s="7"/>
      <c r="B93" t="s">
        <v>42</v>
      </c>
      <c r="C93" s="15">
        <f>SUMIF($A$38:$A$47,B93,C38:$C$47)</f>
        <v>0</v>
      </c>
      <c r="D93" s="39" t="str">
        <f t="shared" si="9"/>
        <v/>
      </c>
      <c r="E93" s="58"/>
    </row>
    <row r="94" spans="1:14" x14ac:dyDescent="0.25">
      <c r="A94" s="7"/>
      <c r="B94" t="s">
        <v>119</v>
      </c>
      <c r="C94" s="15">
        <f>SUMIF($A$38:$A$47,"June",C38:$C$47)+SUMIF($A$38:$A$47,"September",C38:$C$47)</f>
        <v>0</v>
      </c>
      <c r="D94" s="39" t="str">
        <f t="shared" si="9"/>
        <v/>
      </c>
      <c r="E94" s="58"/>
    </row>
    <row r="95" spans="1:14" x14ac:dyDescent="0.25">
      <c r="A95" s="7"/>
      <c r="B95" t="s">
        <v>465</v>
      </c>
      <c r="C95" s="15" t="e">
        <f>SUM(C38:C47)+K52</f>
        <v>#VALUE!</v>
      </c>
      <c r="D95" s="39" t="e">
        <f>IF(C95&gt;3,"OVER CAP","")</f>
        <v>#VALUE!</v>
      </c>
      <c r="E95" s="58"/>
    </row>
    <row r="96" spans="1:14" x14ac:dyDescent="0.25">
      <c r="A96" s="9"/>
      <c r="B96" s="59" t="s">
        <v>123</v>
      </c>
      <c r="C96" s="16"/>
      <c r="D96" s="60"/>
      <c r="E96" s="11"/>
    </row>
    <row r="98" spans="1:14" ht="15" customHeight="1" x14ac:dyDescent="0.25">
      <c r="A98" s="144" t="s">
        <v>258</v>
      </c>
      <c r="B98" s="145"/>
      <c r="C98" s="145"/>
      <c r="D98" s="145"/>
      <c r="E98" s="145"/>
      <c r="F98" s="145"/>
      <c r="G98" s="146"/>
    </row>
    <row r="99" spans="1:14" ht="15" customHeight="1" x14ac:dyDescent="0.25">
      <c r="A99" s="7"/>
      <c r="C99" s="2" t="s">
        <v>11</v>
      </c>
      <c r="D99" s="2" t="s">
        <v>110</v>
      </c>
      <c r="E99" s="2" t="s">
        <v>112</v>
      </c>
      <c r="F99" s="2" t="s">
        <v>111</v>
      </c>
      <c r="G99" s="57" t="s">
        <v>113</v>
      </c>
    </row>
    <row r="100" spans="1:14" ht="15" customHeight="1" x14ac:dyDescent="0.25">
      <c r="A100" s="7"/>
      <c r="B100" s="157" t="s">
        <v>259</v>
      </c>
      <c r="C100" t="s">
        <v>39</v>
      </c>
      <c r="D100" s="17">
        <f>SUMIFS($M$38:$M$47,$A$38:$A$47,C100,$D$38:$D$47,"NIFA")</f>
        <v>0</v>
      </c>
      <c r="E100" s="15">
        <f>SUMIFS($C$38:$C$47,$A$38:$A$47,C100,$D$38:$D$47,"NIFA")</f>
        <v>0</v>
      </c>
      <c r="F100" s="17">
        <f>E100*$B$101</f>
        <v>0</v>
      </c>
      <c r="G100" s="40" t="str">
        <f>IF(F100&lt;D100,"OVER CAP",IF(E100&gt;1,"OVER CAP",""))</f>
        <v/>
      </c>
    </row>
    <row r="101" spans="1:14" ht="15" customHeight="1" x14ac:dyDescent="0.25">
      <c r="A101" s="7"/>
      <c r="B101" s="205">
        <f>Lookup!M22</f>
        <v>15991.666666666666</v>
      </c>
      <c r="C101" t="s">
        <v>40</v>
      </c>
      <c r="D101" s="17">
        <f>SUMIFS($M$38:$M$47,$A$38:$A$47,C101,$D$38:$D$47,"NIFA")</f>
        <v>0</v>
      </c>
      <c r="E101" s="15">
        <f t="shared" ref="E101:E103" si="10">SUMIFS($C$38:$C$47,$A$38:$A$47,C101,$D$38:$D$47,"NIFA")</f>
        <v>0</v>
      </c>
      <c r="F101" s="17">
        <f t="shared" ref="F101:F103" si="11">E101*$B$101</f>
        <v>0</v>
      </c>
      <c r="G101" s="40" t="str">
        <f t="shared" ref="G101:G103" si="12">IF(F101&lt;D101,"OVER CAP",IF(E101&gt;1,"OVER CAP",""))</f>
        <v/>
      </c>
    </row>
    <row r="102" spans="1:14" ht="15" customHeight="1" x14ac:dyDescent="0.25">
      <c r="A102" s="7"/>
      <c r="C102" t="s">
        <v>41</v>
      </c>
      <c r="D102" s="17">
        <f>SUMIFS($M$38:$M$47,$A$38:$A$47,C102,$D$38:$D$47,"NIFA")</f>
        <v>0</v>
      </c>
      <c r="E102" s="15">
        <f t="shared" si="10"/>
        <v>0</v>
      </c>
      <c r="F102" s="17">
        <f t="shared" si="11"/>
        <v>0</v>
      </c>
      <c r="G102" s="40" t="str">
        <f t="shared" si="12"/>
        <v/>
      </c>
    </row>
    <row r="103" spans="1:14" ht="15" customHeight="1" x14ac:dyDescent="0.25">
      <c r="A103" s="9"/>
      <c r="B103" s="10"/>
      <c r="C103" s="10" t="s">
        <v>42</v>
      </c>
      <c r="D103" s="5">
        <f>SUMIFS($M$38:$M$47,$A$38:$A$47,C103,$D$38:$D$47,"NIFA")</f>
        <v>0</v>
      </c>
      <c r="E103" s="16">
        <f t="shared" si="10"/>
        <v>0</v>
      </c>
      <c r="F103" s="5">
        <f t="shared" si="11"/>
        <v>0</v>
      </c>
      <c r="G103" s="41" t="str">
        <f t="shared" si="12"/>
        <v/>
      </c>
    </row>
    <row r="104" spans="1:14" ht="15" customHeight="1" x14ac:dyDescent="0.25">
      <c r="D104" s="17"/>
      <c r="E104" s="15"/>
      <c r="F104" s="17"/>
      <c r="G104" s="39"/>
    </row>
    <row r="105" spans="1:14" x14ac:dyDescent="0.25">
      <c r="A105" s="158" t="s">
        <v>65</v>
      </c>
      <c r="B105" s="157" t="s">
        <v>280</v>
      </c>
      <c r="C105" s="157"/>
      <c r="D105" s="157"/>
      <c r="E105" s="157"/>
      <c r="F105" s="157"/>
      <c r="G105" s="157"/>
      <c r="H105" s="157"/>
      <c r="I105" s="157"/>
      <c r="J105" s="157"/>
      <c r="K105" s="157"/>
      <c r="L105" s="157"/>
      <c r="M105" s="157"/>
      <c r="N105" s="157"/>
    </row>
    <row r="106" spans="1:14" ht="8.25" customHeight="1" x14ac:dyDescent="0.25"/>
    <row r="107" spans="1:14" ht="34.5" customHeight="1" x14ac:dyDescent="0.25">
      <c r="A107" s="160" t="s">
        <v>266</v>
      </c>
      <c r="B107" s="320"/>
      <c r="C107" s="321"/>
      <c r="D107" s="321"/>
      <c r="E107" s="321"/>
      <c r="F107" s="321"/>
      <c r="G107" s="321"/>
      <c r="H107" s="321"/>
      <c r="I107" s="321"/>
      <c r="J107" s="321"/>
      <c r="K107" s="321"/>
      <c r="L107" s="321"/>
      <c r="M107" s="321"/>
      <c r="N107" s="322"/>
    </row>
    <row r="108" spans="1:14" ht="8.25" customHeight="1" x14ac:dyDescent="0.25"/>
    <row r="109" spans="1:14" ht="26.25" customHeight="1" x14ac:dyDescent="0.25">
      <c r="B109" s="4" t="s">
        <v>66</v>
      </c>
      <c r="C109" s="336"/>
      <c r="D109" s="336"/>
      <c r="E109" s="336"/>
      <c r="F109" s="336"/>
      <c r="G109" s="336"/>
      <c r="I109" s="337"/>
      <c r="J109" s="337"/>
    </row>
    <row r="110" spans="1:14" x14ac:dyDescent="0.25">
      <c r="D110" s="29" t="s">
        <v>281</v>
      </c>
      <c r="J110" s="29" t="s">
        <v>67</v>
      </c>
    </row>
    <row r="111" spans="1:14" ht="6.75" customHeight="1" x14ac:dyDescent="0.25">
      <c r="A111" s="30"/>
      <c r="B111" s="30"/>
      <c r="C111" s="30"/>
      <c r="D111" s="30"/>
      <c r="E111" s="30"/>
      <c r="F111" s="30"/>
      <c r="G111" s="30"/>
      <c r="H111" s="30"/>
      <c r="I111" s="30"/>
      <c r="J111" s="30"/>
      <c r="K111" s="30"/>
      <c r="L111" s="30"/>
      <c r="M111" s="30"/>
      <c r="N111" s="30"/>
    </row>
    <row r="112" spans="1:14" ht="8.25" customHeight="1" x14ac:dyDescent="0.25"/>
    <row r="113" spans="1:14" x14ac:dyDescent="0.25">
      <c r="A113" s="323" t="s">
        <v>68</v>
      </c>
      <c r="B113" s="323"/>
      <c r="C113" s="323"/>
      <c r="D113" s="323"/>
      <c r="E113" s="323"/>
      <c r="F113" s="323"/>
      <c r="G113" s="323"/>
      <c r="H113" s="323"/>
      <c r="I113" s="323"/>
      <c r="J113" s="323"/>
      <c r="K113" s="323"/>
      <c r="L113" s="323"/>
      <c r="M113" s="323"/>
      <c r="N113" s="323"/>
    </row>
    <row r="114" spans="1:14" x14ac:dyDescent="0.25">
      <c r="A114" t="s">
        <v>69</v>
      </c>
      <c r="B114" s="252">
        <f>E9</f>
        <v>0</v>
      </c>
      <c r="C114" t="s">
        <v>70</v>
      </c>
      <c r="D114" s="252" t="e">
        <f>VLOOKUP(I5,Lookup!$E$2:$G$23,3,0)</f>
        <v>#N/A</v>
      </c>
      <c r="E114" t="s">
        <v>71</v>
      </c>
      <c r="F114" s="98" t="s">
        <v>73</v>
      </c>
      <c r="H114" s="4" t="s">
        <v>72</v>
      </c>
      <c r="I114" s="314"/>
      <c r="J114" s="314"/>
      <c r="K114" s="4" t="s">
        <v>326</v>
      </c>
      <c r="L114" s="252">
        <f>VLOOKUP(F114,Lookup!$H$2:$I$23,2,0)</f>
        <v>500420</v>
      </c>
    </row>
    <row r="115" spans="1:14" ht="7.5" customHeight="1" x14ac:dyDescent="0.25"/>
    <row r="116" spans="1:14" x14ac:dyDescent="0.25">
      <c r="B116" s="4" t="s">
        <v>99</v>
      </c>
      <c r="C116" s="315"/>
      <c r="D116" s="315"/>
      <c r="E116" s="315"/>
      <c r="F116" s="315"/>
      <c r="G116" s="4" t="s">
        <v>67</v>
      </c>
      <c r="H116" s="316"/>
      <c r="I116" s="316"/>
      <c r="J116" s="316"/>
    </row>
    <row r="117" spans="1:14" ht="7.5" customHeight="1" x14ac:dyDescent="0.25"/>
    <row r="118" spans="1:14" x14ac:dyDescent="0.25">
      <c r="B118" s="4" t="s">
        <v>100</v>
      </c>
      <c r="C118" s="315"/>
      <c r="D118" s="315"/>
      <c r="E118" s="315"/>
      <c r="F118" s="315"/>
      <c r="G118" s="4" t="s">
        <v>67</v>
      </c>
      <c r="H118" s="316"/>
      <c r="I118" s="316"/>
      <c r="J118" s="316"/>
    </row>
    <row r="120" spans="1:14" ht="15" customHeight="1" x14ac:dyDescent="0.25">
      <c r="A120" s="2" t="s">
        <v>101</v>
      </c>
      <c r="B120" s="31" t="s">
        <v>102</v>
      </c>
      <c r="C120" s="339" t="s">
        <v>103</v>
      </c>
      <c r="D120" s="339"/>
      <c r="E120" s="339"/>
      <c r="F120" s="339"/>
      <c r="G120" s="339"/>
      <c r="H120" s="339"/>
      <c r="I120" s="339"/>
      <c r="J120" s="339"/>
      <c r="K120" s="339"/>
      <c r="L120" s="339"/>
      <c r="M120" s="339"/>
      <c r="N120" s="339"/>
    </row>
    <row r="121" spans="1:14" x14ac:dyDescent="0.25">
      <c r="B121" s="116"/>
      <c r="C121" s="335"/>
      <c r="D121" s="335"/>
      <c r="E121" s="335"/>
      <c r="F121" s="335"/>
      <c r="G121" s="335"/>
      <c r="H121" s="335"/>
      <c r="I121" s="335"/>
      <c r="J121" s="335"/>
      <c r="K121" s="335"/>
      <c r="L121" s="335"/>
      <c r="M121" s="335"/>
      <c r="N121" s="335"/>
    </row>
    <row r="122" spans="1:14" x14ac:dyDescent="0.25">
      <c r="B122" s="116"/>
      <c r="C122" s="335"/>
      <c r="D122" s="335"/>
      <c r="E122" s="335"/>
      <c r="F122" s="335"/>
      <c r="G122" s="335"/>
      <c r="H122" s="335"/>
      <c r="I122" s="335"/>
      <c r="J122" s="335"/>
      <c r="K122" s="335"/>
      <c r="L122" s="335"/>
      <c r="M122" s="335"/>
      <c r="N122" s="335"/>
    </row>
    <row r="123" spans="1:14" x14ac:dyDescent="0.25">
      <c r="B123" s="116"/>
      <c r="C123" s="335"/>
      <c r="D123" s="335"/>
      <c r="E123" s="335"/>
      <c r="F123" s="335"/>
      <c r="G123" s="335"/>
      <c r="H123" s="335"/>
      <c r="I123" s="335"/>
      <c r="J123" s="335"/>
      <c r="K123" s="335"/>
      <c r="L123" s="335"/>
      <c r="M123" s="335"/>
      <c r="N123" s="335"/>
    </row>
    <row r="124" spans="1:14" x14ac:dyDescent="0.25">
      <c r="B124" s="116"/>
      <c r="C124" s="335"/>
      <c r="D124" s="335"/>
      <c r="E124" s="335"/>
      <c r="F124" s="335"/>
      <c r="G124" s="335"/>
      <c r="H124" s="335"/>
      <c r="I124" s="335"/>
      <c r="J124" s="335"/>
      <c r="K124" s="335"/>
      <c r="L124" s="335"/>
      <c r="M124" s="335"/>
      <c r="N124" s="335"/>
    </row>
    <row r="125" spans="1:14" x14ac:dyDescent="0.25">
      <c r="B125" s="116"/>
      <c r="C125" s="335"/>
      <c r="D125" s="335"/>
      <c r="E125" s="335"/>
      <c r="F125" s="335"/>
      <c r="G125" s="335"/>
      <c r="H125" s="335"/>
      <c r="I125" s="335"/>
      <c r="J125" s="335"/>
      <c r="K125" s="335"/>
      <c r="L125" s="335"/>
      <c r="M125" s="335"/>
      <c r="N125" s="335"/>
    </row>
    <row r="126" spans="1:14" x14ac:dyDescent="0.25">
      <c r="B126" s="116"/>
      <c r="C126" s="335"/>
      <c r="D126" s="335"/>
      <c r="E126" s="335"/>
      <c r="F126" s="335"/>
      <c r="G126" s="335"/>
      <c r="H126" s="335"/>
      <c r="I126" s="335"/>
      <c r="J126" s="335"/>
      <c r="K126" s="335"/>
      <c r="L126" s="335"/>
      <c r="M126" s="335"/>
      <c r="N126" s="335"/>
    </row>
  </sheetData>
  <sheetProtection algorithmName="SHA-512" hashValue="Y+/1m/vt/j6LnxGtZtQktRFRYw9cyiuqd3TLXQ0i8+/n3CDsEL2kIj0ix/W3jvSgS65knu33lVwcAIAIUwYSzA==" saltValue="ZrSFszJYJ+Sy2LoVU8lr0Q==" spinCount="100000" sheet="1" objects="1" scenarios="1"/>
  <mergeCells count="29">
    <mergeCell ref="E5:G5"/>
    <mergeCell ref="I5:K5"/>
    <mergeCell ref="C126:N126"/>
    <mergeCell ref="C120:N120"/>
    <mergeCell ref="C121:N121"/>
    <mergeCell ref="C122:N122"/>
    <mergeCell ref="C123:N123"/>
    <mergeCell ref="C124:N124"/>
    <mergeCell ref="A49:N49"/>
    <mergeCell ref="B16:N16"/>
    <mergeCell ref="B107:N107"/>
    <mergeCell ref="A113:N113"/>
    <mergeCell ref="E9:F9"/>
    <mergeCell ref="A3:N3"/>
    <mergeCell ref="A1:N1"/>
    <mergeCell ref="A2:N2"/>
    <mergeCell ref="C125:N125"/>
    <mergeCell ref="C116:F116"/>
    <mergeCell ref="H116:J116"/>
    <mergeCell ref="C118:F118"/>
    <mergeCell ref="H118:J118"/>
    <mergeCell ref="C60:G60"/>
    <mergeCell ref="I60:J60"/>
    <mergeCell ref="I71:J71"/>
    <mergeCell ref="C109:G109"/>
    <mergeCell ref="I109:J109"/>
    <mergeCell ref="I114:J114"/>
    <mergeCell ref="B7:C7"/>
    <mergeCell ref="B5:C5"/>
  </mergeCells>
  <pageMargins left="0.5" right="0.5" top="0.5" bottom="0.5" header="0.5" footer="0.5"/>
  <pageSetup scale="23" orientation="portrait" horizontalDpi="4294967295" verticalDpi="4294967295"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300-000000000000}">
          <x14:formula1>
            <xm:f>Lookup!$A$11:$A$15</xm:f>
          </x14:formula1>
          <xm:sqref>J54</xm:sqref>
        </x14:dataValidation>
        <x14:dataValidation type="list" allowBlank="1" showInputMessage="1" showErrorMessage="1" xr:uid="{00000000-0002-0000-0300-000001000000}">
          <x14:formula1>
            <xm:f>Lookup!$A$5:$A$8</xm:f>
          </x14:formula1>
          <xm:sqref>A38:A47</xm:sqref>
        </x14:dataValidation>
        <x14:dataValidation type="list" allowBlank="1" showInputMessage="1" showErrorMessage="1" xr:uid="{00000000-0002-0000-0300-000002000000}">
          <x14:formula1>
            <xm:f>Lookup!$A$1:$A$2</xm:f>
          </x14:formula1>
          <xm:sqref>E28 E20 H38:H47 I114:J114 C52 E56 I71:J71 F38:F47</xm:sqref>
        </x14:dataValidation>
        <x14:dataValidation type="list" allowBlank="1" showInputMessage="1" showErrorMessage="1" xr:uid="{00000000-0002-0000-0300-000003000000}">
          <x14:formula1>
            <xm:f>Lookup!$A$21:$A$25</xm:f>
          </x14:formula1>
          <xm:sqref>F114</xm:sqref>
        </x14:dataValidation>
        <x14:dataValidation type="list" allowBlank="1" showInputMessage="1" showErrorMessage="1" xr:uid="{00000000-0002-0000-0300-000004000000}">
          <x14:formula1>
            <xm:f>Lookup!$C$1:$C$7</xm:f>
          </x14:formula1>
          <xm:sqref>D38:D47</xm:sqref>
        </x14:dataValidation>
        <x14:dataValidation type="list" allowBlank="1" showInputMessage="1" showErrorMessage="1" xr:uid="{00000000-0002-0000-0300-000005000000}">
          <x14:formula1>
            <xm:f>Lookup!$A$32:$A$33</xm:f>
          </x14:formula1>
          <xm:sqref>B9</xm:sqref>
        </x14:dataValidation>
        <x14:dataValidation type="list" allowBlank="1" showInputMessage="1" showErrorMessage="1" xr:uid="{00000000-0002-0000-0300-000006000000}">
          <x14:formula1>
            <xm:f>Lookup!$C$30:$C$44</xm:f>
          </x14:formula1>
          <xm:sqref>E5:G5</xm:sqref>
        </x14:dataValidation>
        <x14:dataValidation type="list" allowBlank="1" showInputMessage="1" showErrorMessage="1" xr:uid="{00000000-0002-0000-0300-000007000000}">
          <x14:formula1>
            <xm:f>Lookup!$E$2:$E$10</xm:f>
          </x14:formula1>
          <xm:sqref>I5:K5</xm:sqref>
        </x14:dataValidation>
        <x14:dataValidation type="list" allowBlank="1" showInputMessage="1" showErrorMessage="1" xr:uid="{00000000-0002-0000-0300-000008000000}">
          <x14:formula1>
            <xm:f>Lookup!$E$2:$E$23</xm:f>
          </x14:formula1>
          <xm:sqref>I6:K6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7" tint="-0.249977111117893"/>
    <pageSetUpPr fitToPage="1"/>
  </sheetPr>
  <dimension ref="A1:P111"/>
  <sheetViews>
    <sheetView zoomScale="80" zoomScaleNormal="80" workbookViewId="0">
      <selection activeCell="G31" sqref="G31"/>
    </sheetView>
  </sheetViews>
  <sheetFormatPr defaultRowHeight="15" x14ac:dyDescent="0.25"/>
  <cols>
    <col min="1" max="1" width="11.7109375" customWidth="1"/>
    <col min="2" max="2" width="19.140625" customWidth="1"/>
    <col min="3" max="3" width="21.140625" customWidth="1"/>
    <col min="4" max="4" width="19.140625" customWidth="1"/>
    <col min="5" max="5" width="19.28515625" customWidth="1"/>
    <col min="6" max="6" width="16.42578125" customWidth="1"/>
    <col min="7" max="7" width="16" customWidth="1"/>
    <col min="8" max="8" width="12" customWidth="1"/>
    <col min="9" max="9" width="16" customWidth="1"/>
    <col min="10" max="10" width="13.140625" customWidth="1"/>
    <col min="11" max="11" width="11.5703125" customWidth="1"/>
    <col min="12" max="12" width="13" customWidth="1"/>
    <col min="13" max="13" width="11.42578125" customWidth="1"/>
    <col min="14" max="14" width="13.42578125" customWidth="1"/>
    <col min="15" max="15" width="14.5703125" customWidth="1"/>
    <col min="16" max="16" width="51.85546875" customWidth="1"/>
  </cols>
  <sheetData>
    <row r="1" spans="1:14" ht="18.75" x14ac:dyDescent="0.3">
      <c r="A1" s="343" t="s">
        <v>153</v>
      </c>
      <c r="B1" s="343"/>
      <c r="C1" s="343"/>
      <c r="D1" s="343"/>
      <c r="E1" s="343"/>
      <c r="F1" s="343"/>
      <c r="G1" s="343"/>
      <c r="H1" s="343"/>
      <c r="I1" s="343"/>
      <c r="J1" s="343"/>
      <c r="K1" s="343"/>
      <c r="L1" s="343"/>
      <c r="M1" s="343"/>
      <c r="N1" s="343"/>
    </row>
    <row r="2" spans="1:14" ht="18.75" x14ac:dyDescent="0.3">
      <c r="A2" s="343" t="s">
        <v>398</v>
      </c>
      <c r="B2" s="343"/>
      <c r="C2" s="343"/>
      <c r="D2" s="343"/>
      <c r="E2" s="343"/>
      <c r="F2" s="343"/>
      <c r="G2" s="343"/>
      <c r="H2" s="343"/>
      <c r="I2" s="343"/>
      <c r="J2" s="343"/>
      <c r="K2" s="343"/>
      <c r="L2" s="343"/>
      <c r="M2" s="343"/>
      <c r="N2" s="343"/>
    </row>
    <row r="3" spans="1:14" ht="18.75" x14ac:dyDescent="0.3">
      <c r="A3" s="343" t="s">
        <v>154</v>
      </c>
      <c r="B3" s="343"/>
      <c r="C3" s="343"/>
      <c r="D3" s="343"/>
      <c r="E3" s="343"/>
      <c r="F3" s="343"/>
      <c r="G3" s="343"/>
      <c r="H3" s="343"/>
      <c r="I3" s="343"/>
      <c r="J3" s="343"/>
      <c r="K3" s="343"/>
      <c r="L3" s="343"/>
      <c r="M3" s="343"/>
      <c r="N3" s="343"/>
    </row>
    <row r="4" spans="1:14" x14ac:dyDescent="0.25">
      <c r="A4" s="324" t="s">
        <v>436</v>
      </c>
      <c r="B4" s="324"/>
      <c r="C4" s="324"/>
      <c r="D4" s="324"/>
      <c r="E4" s="324"/>
      <c r="F4" s="324"/>
      <c r="G4" s="324"/>
      <c r="H4" s="324"/>
      <c r="I4" s="324"/>
      <c r="J4" s="324"/>
      <c r="K4" s="324"/>
      <c r="L4" s="324"/>
      <c r="M4" s="324"/>
      <c r="N4" s="324"/>
    </row>
    <row r="5" spans="1:14" ht="7.5" customHeight="1" x14ac:dyDescent="0.25"/>
    <row r="6" spans="1:14" x14ac:dyDescent="0.25">
      <c r="A6" s="27" t="s">
        <v>1</v>
      </c>
      <c r="B6" s="344"/>
      <c r="C6" s="344"/>
      <c r="E6" s="27" t="s">
        <v>2</v>
      </c>
      <c r="F6" s="345"/>
      <c r="G6" s="345"/>
      <c r="H6" s="345"/>
      <c r="I6" s="345"/>
      <c r="K6" s="27" t="s">
        <v>275</v>
      </c>
      <c r="L6" s="344"/>
      <c r="M6" s="344"/>
    </row>
    <row r="7" spans="1:14" ht="7.5" customHeight="1" x14ac:dyDescent="0.25"/>
    <row r="8" spans="1:14" ht="13.5" customHeight="1" x14ac:dyDescent="0.25">
      <c r="B8" s="27" t="s">
        <v>265</v>
      </c>
      <c r="C8" s="161"/>
      <c r="D8" s="39" t="str">
        <f>IF(C8="Revision","Revisions require a comment in section 4 explaining the change","")</f>
        <v/>
      </c>
      <c r="E8" s="27" t="s">
        <v>440</v>
      </c>
      <c r="F8" s="161"/>
      <c r="K8" s="27" t="s">
        <v>304</v>
      </c>
      <c r="L8" s="161"/>
    </row>
    <row r="9" spans="1:14" ht="7.5" customHeight="1" x14ac:dyDescent="0.25"/>
    <row r="10" spans="1:14" ht="33.75" customHeight="1" x14ac:dyDescent="0.25">
      <c r="A10" s="318" t="s">
        <v>189</v>
      </c>
      <c r="B10" s="318"/>
      <c r="C10" s="318"/>
      <c r="D10" s="318"/>
      <c r="E10" s="318"/>
      <c r="F10" s="318"/>
      <c r="G10" s="318"/>
      <c r="H10" s="318"/>
      <c r="I10" s="318"/>
      <c r="J10" s="318"/>
      <c r="K10" s="128"/>
    </row>
    <row r="11" spans="1:14" ht="33" customHeight="1" x14ac:dyDescent="0.25">
      <c r="A11" s="318" t="s">
        <v>190</v>
      </c>
      <c r="B11" s="318"/>
      <c r="C11" s="318"/>
      <c r="D11" s="318"/>
      <c r="E11" s="318"/>
      <c r="F11" s="318"/>
      <c r="G11" s="318"/>
      <c r="H11" s="318"/>
      <c r="I11" s="318"/>
      <c r="J11" s="318"/>
      <c r="K11" s="128"/>
    </row>
    <row r="12" spans="1:14" x14ac:dyDescent="0.25">
      <c r="B12" t="s">
        <v>282</v>
      </c>
    </row>
    <row r="13" spans="1:14" x14ac:dyDescent="0.25">
      <c r="B13" s="122"/>
      <c r="C13" t="s">
        <v>270</v>
      </c>
      <c r="G13" s="125" t="b">
        <v>0</v>
      </c>
    </row>
    <row r="14" spans="1:14" x14ac:dyDescent="0.25">
      <c r="B14" s="122"/>
      <c r="C14" t="s">
        <v>271</v>
      </c>
      <c r="G14" s="125" t="b">
        <v>0</v>
      </c>
    </row>
    <row r="15" spans="1:14" x14ac:dyDescent="0.25">
      <c r="B15" s="122"/>
      <c r="C15" t="s">
        <v>272</v>
      </c>
      <c r="G15" s="125" t="b">
        <v>0</v>
      </c>
    </row>
    <row r="16" spans="1:14" ht="11.25" customHeight="1" x14ac:dyDescent="0.25"/>
    <row r="17" spans="1:16" x14ac:dyDescent="0.25">
      <c r="A17" s="164" t="s">
        <v>155</v>
      </c>
      <c r="B17" s="165"/>
      <c r="C17" s="165"/>
      <c r="D17" s="170" t="s">
        <v>156</v>
      </c>
      <c r="E17" s="165"/>
      <c r="F17" s="165"/>
      <c r="G17" s="165"/>
      <c r="H17" s="165"/>
      <c r="I17" s="165"/>
      <c r="J17" s="165"/>
      <c r="K17" s="165"/>
      <c r="L17" s="165"/>
      <c r="M17" s="165"/>
      <c r="N17" s="165"/>
    </row>
    <row r="18" spans="1:16" ht="7.5" customHeight="1" x14ac:dyDescent="0.25"/>
    <row r="19" spans="1:16" x14ac:dyDescent="0.25">
      <c r="A19" t="s">
        <v>157</v>
      </c>
    </row>
    <row r="20" spans="1:16" ht="58.5" customHeight="1" x14ac:dyDescent="0.25">
      <c r="A20" s="162"/>
      <c r="B20" s="320"/>
      <c r="C20" s="321"/>
      <c r="D20" s="321"/>
      <c r="E20" s="321"/>
      <c r="F20" s="321"/>
      <c r="G20" s="321"/>
      <c r="H20" s="321"/>
      <c r="I20" s="321"/>
      <c r="J20" s="321"/>
      <c r="K20" s="321"/>
      <c r="L20" s="321"/>
      <c r="M20" s="321"/>
      <c r="N20" s="322"/>
      <c r="O20" s="162"/>
    </row>
    <row r="21" spans="1:16" ht="7.5" customHeight="1" x14ac:dyDescent="0.25"/>
    <row r="22" spans="1:16" ht="14.25" customHeight="1" x14ac:dyDescent="0.25">
      <c r="A22" s="4" t="s">
        <v>158</v>
      </c>
      <c r="B22" t="s">
        <v>211</v>
      </c>
      <c r="E22" t="s">
        <v>212</v>
      </c>
      <c r="F22" s="117"/>
      <c r="G22" t="s">
        <v>159</v>
      </c>
      <c r="H22" s="117"/>
    </row>
    <row r="23" spans="1:16" x14ac:dyDescent="0.25">
      <c r="A23" s="4"/>
      <c r="E23" t="s">
        <v>212</v>
      </c>
      <c r="F23" s="118"/>
      <c r="G23" t="s">
        <v>159</v>
      </c>
      <c r="H23" s="117"/>
    </row>
    <row r="24" spans="1:16" x14ac:dyDescent="0.25">
      <c r="A24" s="4"/>
      <c r="E24" t="s">
        <v>212</v>
      </c>
      <c r="F24" s="118"/>
      <c r="G24" t="s">
        <v>159</v>
      </c>
      <c r="H24" s="117"/>
    </row>
    <row r="25" spans="1:16" ht="7.5" customHeight="1" x14ac:dyDescent="0.25">
      <c r="A25" s="4"/>
      <c r="F25" s="68"/>
      <c r="H25" s="69"/>
    </row>
    <row r="26" spans="1:16" x14ac:dyDescent="0.25">
      <c r="A26" s="4" t="s">
        <v>160</v>
      </c>
      <c r="B26" t="s">
        <v>161</v>
      </c>
      <c r="H26" s="176">
        <f>SUM(J29:J32)</f>
        <v>0</v>
      </c>
    </row>
    <row r="27" spans="1:16" x14ac:dyDescent="0.25">
      <c r="A27" s="4" t="s">
        <v>162</v>
      </c>
      <c r="B27" t="s">
        <v>163</v>
      </c>
      <c r="D27" s="193" t="s">
        <v>269</v>
      </c>
    </row>
    <row r="28" spans="1:16" ht="54.75" customHeight="1" x14ac:dyDescent="0.25">
      <c r="B28" s="172" t="s">
        <v>11</v>
      </c>
      <c r="C28" s="346" t="s">
        <v>396</v>
      </c>
      <c r="D28" s="346"/>
      <c r="E28" s="346"/>
      <c r="F28" s="172" t="s">
        <v>164</v>
      </c>
      <c r="G28" s="173" t="s">
        <v>233</v>
      </c>
      <c r="H28" s="173" t="s">
        <v>207</v>
      </c>
      <c r="I28" s="289" t="s">
        <v>468</v>
      </c>
      <c r="J28" s="173" t="s">
        <v>206</v>
      </c>
      <c r="K28" s="174" t="s">
        <v>232</v>
      </c>
      <c r="L28" s="173" t="s">
        <v>262</v>
      </c>
      <c r="M28" s="173" t="s">
        <v>16</v>
      </c>
      <c r="N28" s="173" t="s">
        <v>405</v>
      </c>
      <c r="O28" s="173" t="s">
        <v>17</v>
      </c>
      <c r="P28" s="175" t="s">
        <v>397</v>
      </c>
    </row>
    <row r="29" spans="1:16" ht="30" customHeight="1" x14ac:dyDescent="0.25">
      <c r="B29" s="119"/>
      <c r="C29" s="348"/>
      <c r="D29" s="348"/>
      <c r="E29" s="348"/>
      <c r="F29" s="119"/>
      <c r="G29" s="120"/>
      <c r="H29" s="72">
        <f>G29*$F$56</f>
        <v>0</v>
      </c>
      <c r="I29" s="65">
        <f>H29*0.079</f>
        <v>0</v>
      </c>
      <c r="J29" s="73">
        <f>_xlfn.IFNA(ROUNDUP(((VLOOKUP(B29,Lookup!$E$43:$H$66,4,0)*G29)/8),0),0)</f>
        <v>0</v>
      </c>
      <c r="K29" s="81" t="str">
        <f>IF(AND(F29="NIH",(G29*Lookup!$M$2)&lt;H29),"OVER CAP","")</f>
        <v/>
      </c>
      <c r="L29" s="156">
        <f>IF(F29="NIH",Lookup!$M$2,IF(F29="NSF",Lookup!$L$16,IF(F29="NIFA",Lookup!$M$22,IF(F29="Other",$I$36,0))))</f>
        <v>0</v>
      </c>
      <c r="M29" s="64" t="str">
        <f>IF(AND(L29&gt;0,H29&gt;(G29*L29)),"Yes","No")</f>
        <v>No</v>
      </c>
      <c r="N29" s="65">
        <f>IF(M29="Yes",H29-O29,H29)</f>
        <v>0</v>
      </c>
      <c r="O29" s="65">
        <f>IF(M29="Yes",H29-(G29*L29),0)</f>
        <v>0</v>
      </c>
      <c r="P29" s="297"/>
    </row>
    <row r="30" spans="1:16" ht="30" customHeight="1" x14ac:dyDescent="0.25">
      <c r="B30" s="119"/>
      <c r="C30" s="348"/>
      <c r="D30" s="348"/>
      <c r="E30" s="348"/>
      <c r="F30" s="119"/>
      <c r="G30" s="120"/>
      <c r="H30" s="72">
        <f t="shared" ref="H30:H32" si="0">G30*$F$56</f>
        <v>0</v>
      </c>
      <c r="I30" s="65">
        <f t="shared" ref="I30:I32" si="1">H30*0.079</f>
        <v>0</v>
      </c>
      <c r="J30" s="73">
        <f>_xlfn.IFNA(ROUNDUP(((VLOOKUP(B30,Lookup!$E$43:$H$60,4,0)*G30)/8),0),0)</f>
        <v>0</v>
      </c>
      <c r="K30" s="81" t="str">
        <f>IF(AND(F30="NIH",(G30*Lookup!$M$2)&lt;H30),"OVER CAP","")</f>
        <v/>
      </c>
      <c r="L30" s="156">
        <f>IF(F30="NIH",Lookup!$M$2,IF(F30="NSF",Lookup!$L$16,IF(F30="NIFA",Lookup!$M$22,IF(F30="Other",$I$36,0))))</f>
        <v>0</v>
      </c>
      <c r="M30" s="64" t="str">
        <f>IF(AND(L30&gt;0,H30&gt;(G30*L30)),"Yes","No")</f>
        <v>No</v>
      </c>
      <c r="N30" s="65">
        <f>IF(M30="Yes",H30-O30,H30)</f>
        <v>0</v>
      </c>
      <c r="O30" s="65">
        <f>IF(M30="Yes",H30-(G30*L30),0)</f>
        <v>0</v>
      </c>
      <c r="P30" s="297"/>
    </row>
    <row r="31" spans="1:16" ht="30.75" customHeight="1" x14ac:dyDescent="0.25">
      <c r="B31" s="119"/>
      <c r="C31" s="348"/>
      <c r="D31" s="348"/>
      <c r="E31" s="348"/>
      <c r="F31" s="119"/>
      <c r="G31" s="120"/>
      <c r="H31" s="72">
        <f t="shared" si="0"/>
        <v>0</v>
      </c>
      <c r="I31" s="65">
        <f t="shared" si="1"/>
        <v>0</v>
      </c>
      <c r="J31" s="73">
        <f>_xlfn.IFNA(ROUNDUP(((VLOOKUP(B31,Lookup!$E$43:$H$60,4,0)*G31)/8),0),0)</f>
        <v>0</v>
      </c>
      <c r="K31" s="81" t="str">
        <f>IF(AND(F31="NIH",(G31*Lookup!$M$2)&lt;H31),"OVER CAP","")</f>
        <v/>
      </c>
      <c r="L31" s="156">
        <f>IF(F31="NIH",Lookup!$M$2,IF(F31="NSF",Lookup!$L$16,IF(F31="NIFA",Lookup!$M$22,IF(F31="Other",$I$36,0))))</f>
        <v>0</v>
      </c>
      <c r="M31" s="64" t="str">
        <f>IF(AND(L31&gt;0,H31&gt;(G31*L31)),"Yes","No")</f>
        <v>No</v>
      </c>
      <c r="N31" s="65">
        <f>IF(M31="Yes",H31-O31,H31)</f>
        <v>0</v>
      </c>
      <c r="O31" s="65">
        <f>IF(M31="Yes",H31-(G31*L31),0)</f>
        <v>0</v>
      </c>
      <c r="P31" s="297"/>
    </row>
    <row r="32" spans="1:16" ht="30" customHeight="1" x14ac:dyDescent="0.25">
      <c r="B32" s="119"/>
      <c r="C32" s="348"/>
      <c r="D32" s="348"/>
      <c r="E32" s="348"/>
      <c r="F32" s="119"/>
      <c r="G32" s="120"/>
      <c r="H32" s="72">
        <f t="shared" si="0"/>
        <v>0</v>
      </c>
      <c r="I32" s="65">
        <f t="shared" si="1"/>
        <v>0</v>
      </c>
      <c r="J32" s="73">
        <f>_xlfn.IFNA(ROUNDUP(((VLOOKUP(B32,Lookup!$E$43:$H$60,4,0)*G32)/8),0),0)</f>
        <v>0</v>
      </c>
      <c r="K32" s="81" t="str">
        <f>IF(AND(F32="NIH",(G32*Lookup!$M$2)&lt;H32),"OVER CAP","")</f>
        <v/>
      </c>
      <c r="L32" s="156">
        <f>IF(F32="NIH",Lookup!$M$2,IF(F32="NSF",Lookup!$L$16,IF(F32="NIFA",Lookup!$M$22,IF(F32="Other",$I$36,0))))</f>
        <v>0</v>
      </c>
      <c r="M32" s="64" t="str">
        <f>IF(AND(L32&gt;0,H32&gt;(G32*L32)),"Yes","No")</f>
        <v>No</v>
      </c>
      <c r="N32" s="65">
        <f>IF(M32="Yes",H32-O32,H32)</f>
        <v>0</v>
      </c>
      <c r="O32" s="65">
        <f>IF(M32="Yes",H32-(G32*L32),0)</f>
        <v>0</v>
      </c>
      <c r="P32" s="297"/>
    </row>
    <row r="33" spans="1:16" s="2" customFormat="1" x14ac:dyDescent="0.25">
      <c r="B33" s="290" t="s">
        <v>227</v>
      </c>
      <c r="C33" s="291"/>
      <c r="D33" s="291"/>
      <c r="E33" s="291"/>
      <c r="F33" s="292" t="str">
        <f>IF(G33&gt;1,"OVER ADD'L COMP LIMIT","")</f>
        <v/>
      </c>
      <c r="G33" s="293">
        <f>SUM(G29:G32)</f>
        <v>0</v>
      </c>
      <c r="H33" s="294">
        <f>SUM(H29:H32)</f>
        <v>0</v>
      </c>
      <c r="I33" s="294">
        <f>SUM(I29:I32)</f>
        <v>0</v>
      </c>
      <c r="J33" s="296">
        <f>SUM(J29:J32)</f>
        <v>0</v>
      </c>
      <c r="K33" s="295"/>
      <c r="L33" s="294">
        <f>SUM(L29:L32)</f>
        <v>0</v>
      </c>
      <c r="M33" s="290"/>
      <c r="N33" s="294">
        <f>SUM(N29:N32)</f>
        <v>0</v>
      </c>
      <c r="O33" s="290"/>
      <c r="P33" s="290"/>
    </row>
    <row r="34" spans="1:16" ht="7.5" customHeight="1" x14ac:dyDescent="0.25"/>
    <row r="35" spans="1:16" ht="17.25" x14ac:dyDescent="0.25">
      <c r="A35" s="4" t="s">
        <v>165</v>
      </c>
      <c r="B35" t="s">
        <v>191</v>
      </c>
      <c r="E35" s="121"/>
    </row>
    <row r="36" spans="1:16" x14ac:dyDescent="0.25">
      <c r="A36" s="4" t="s">
        <v>166</v>
      </c>
      <c r="B36" t="s">
        <v>167</v>
      </c>
      <c r="E36" s="195"/>
      <c r="F36" s="122" t="s">
        <v>169</v>
      </c>
      <c r="G36" s="122" t="s">
        <v>170</v>
      </c>
      <c r="H36" s="122" t="s">
        <v>171</v>
      </c>
      <c r="I36" s="192"/>
    </row>
    <row r="37" spans="1:16" x14ac:dyDescent="0.25">
      <c r="A37" s="4" t="s">
        <v>168</v>
      </c>
      <c r="B37" s="2" t="s">
        <v>433</v>
      </c>
      <c r="F37" s="161"/>
      <c r="G37" s="122"/>
      <c r="H37" s="122"/>
      <c r="I37" s="191"/>
    </row>
    <row r="38" spans="1:16" x14ac:dyDescent="0.25">
      <c r="A38" s="4" t="s">
        <v>314</v>
      </c>
      <c r="B38" t="s">
        <v>188</v>
      </c>
    </row>
    <row r="39" spans="1:16" ht="30" customHeight="1" x14ac:dyDescent="0.25">
      <c r="B39" s="320"/>
      <c r="C39" s="321"/>
      <c r="D39" s="321"/>
      <c r="E39" s="321"/>
      <c r="F39" s="321"/>
      <c r="G39" s="321"/>
      <c r="H39" s="321"/>
      <c r="I39" s="321"/>
      <c r="J39" s="321"/>
      <c r="K39" s="321"/>
      <c r="L39" s="321"/>
      <c r="M39" s="321"/>
      <c r="N39" s="322"/>
    </row>
    <row r="40" spans="1:16" ht="7.5" customHeight="1" x14ac:dyDescent="0.25">
      <c r="B40" s="61"/>
      <c r="C40" s="61"/>
      <c r="D40" s="61"/>
      <c r="E40" s="61"/>
      <c r="F40" s="61"/>
      <c r="G40" s="61"/>
      <c r="H40" s="61"/>
      <c r="I40" s="61"/>
      <c r="J40" s="61"/>
      <c r="K40" s="61"/>
    </row>
    <row r="41" spans="1:16" ht="24.75" customHeight="1" x14ac:dyDescent="0.25">
      <c r="A41" t="s">
        <v>172</v>
      </c>
      <c r="D41" s="347"/>
      <c r="E41" s="347"/>
      <c r="F41" s="347"/>
      <c r="G41" s="347"/>
      <c r="I41" s="117"/>
    </row>
    <row r="42" spans="1:16" x14ac:dyDescent="0.25">
      <c r="E42" s="29" t="s">
        <v>308</v>
      </c>
      <c r="I42" s="62" t="s">
        <v>67</v>
      </c>
    </row>
    <row r="43" spans="1:16" x14ac:dyDescent="0.25">
      <c r="D43" s="22" t="s">
        <v>313</v>
      </c>
      <c r="E43" s="29"/>
      <c r="I43" s="62"/>
    </row>
    <row r="44" spans="1:16" ht="7.5" customHeight="1" x14ac:dyDescent="0.25"/>
    <row r="45" spans="1:16" s="23" customFormat="1" ht="12.75" x14ac:dyDescent="0.2">
      <c r="A45" s="23" t="s">
        <v>213</v>
      </c>
    </row>
    <row r="46" spans="1:16" s="23" customFormat="1" ht="23.25" customHeight="1" x14ac:dyDescent="0.2">
      <c r="A46" s="349" t="s">
        <v>214</v>
      </c>
      <c r="B46" s="349"/>
      <c r="C46" s="349"/>
      <c r="D46" s="349"/>
      <c r="E46" s="349"/>
      <c r="F46" s="349"/>
      <c r="G46" s="349"/>
      <c r="H46" s="349"/>
      <c r="I46" s="349"/>
      <c r="J46" s="349"/>
      <c r="K46" s="129"/>
    </row>
    <row r="47" spans="1:16" s="23" customFormat="1" ht="12.75" x14ac:dyDescent="0.2">
      <c r="A47" s="23" t="s">
        <v>215</v>
      </c>
    </row>
    <row r="48" spans="1:16" s="23" customFormat="1" ht="12.75" x14ac:dyDescent="0.2">
      <c r="A48" s="23" t="s">
        <v>216</v>
      </c>
    </row>
    <row r="49" spans="1:14" ht="5.25" customHeight="1" x14ac:dyDescent="0.25">
      <c r="A49" s="10"/>
      <c r="B49" s="10"/>
      <c r="C49" s="10"/>
      <c r="D49" s="10"/>
      <c r="E49" s="10"/>
      <c r="F49" s="10"/>
      <c r="G49" s="10"/>
      <c r="H49" s="10"/>
      <c r="I49" s="10"/>
      <c r="J49" s="10"/>
      <c r="K49" s="10"/>
      <c r="L49" s="10"/>
      <c r="M49" s="10"/>
      <c r="N49" s="10"/>
    </row>
    <row r="50" spans="1:14" x14ac:dyDescent="0.25">
      <c r="A50" s="158" t="s">
        <v>173</v>
      </c>
      <c r="B50" s="157"/>
      <c r="C50" s="157"/>
      <c r="D50" s="163" t="s">
        <v>174</v>
      </c>
      <c r="E50" s="157"/>
      <c r="F50" s="157"/>
      <c r="G50" s="157"/>
      <c r="H50" s="157"/>
      <c r="I50" s="157"/>
      <c r="J50" s="157"/>
      <c r="K50" s="157"/>
      <c r="L50" s="157"/>
      <c r="M50" s="157"/>
      <c r="N50" s="157"/>
    </row>
    <row r="51" spans="1:14" ht="6.75" customHeight="1" x14ac:dyDescent="0.25">
      <c r="A51" s="2"/>
      <c r="D51" s="18"/>
    </row>
    <row r="52" spans="1:14" x14ac:dyDescent="0.25">
      <c r="A52" t="s">
        <v>218</v>
      </c>
      <c r="C52" s="63" t="s">
        <v>208</v>
      </c>
      <c r="D52" s="66" t="s">
        <v>112</v>
      </c>
      <c r="E52" s="63" t="s">
        <v>177</v>
      </c>
      <c r="F52" s="63" t="s">
        <v>194</v>
      </c>
      <c r="G52" s="63" t="s">
        <v>46</v>
      </c>
    </row>
    <row r="53" spans="1:14" x14ac:dyDescent="0.25">
      <c r="B53" s="4" t="s">
        <v>175</v>
      </c>
      <c r="C53" s="123"/>
      <c r="D53" s="124"/>
      <c r="E53" s="67">
        <f>D53*$C$53</f>
        <v>0</v>
      </c>
      <c r="F53" s="65">
        <f>IF($B$60="1/12",C53/12,C53/11)</f>
        <v>0</v>
      </c>
      <c r="G53" s="65">
        <f>F53*D53</f>
        <v>0</v>
      </c>
    </row>
    <row r="54" spans="1:14" x14ac:dyDescent="0.25">
      <c r="B54" s="4" t="s">
        <v>176</v>
      </c>
      <c r="C54" s="123"/>
      <c r="D54" s="124"/>
      <c r="E54" s="67">
        <f>D54*$C$54</f>
        <v>0</v>
      </c>
      <c r="F54" s="65">
        <f>IF($B$60="1/12",C54/12,C54/11)</f>
        <v>0</v>
      </c>
      <c r="G54" s="65">
        <f t="shared" ref="G54:G55" si="2">F54*D54</f>
        <v>0</v>
      </c>
    </row>
    <row r="55" spans="1:14" x14ac:dyDescent="0.25">
      <c r="B55" s="4" t="s">
        <v>209</v>
      </c>
      <c r="C55" s="123"/>
      <c r="D55" s="124"/>
      <c r="E55" s="67">
        <f>D55*$C$55</f>
        <v>0</v>
      </c>
      <c r="F55" s="65">
        <f>IF($B$60="1/12",C55/12,C55/11)</f>
        <v>0</v>
      </c>
      <c r="G55" s="65">
        <f t="shared" si="2"/>
        <v>0</v>
      </c>
    </row>
    <row r="56" spans="1:14" x14ac:dyDescent="0.25">
      <c r="B56" s="4"/>
      <c r="C56" s="70"/>
      <c r="D56" s="71">
        <f>SUM(D53:D55)</f>
        <v>0</v>
      </c>
      <c r="E56" s="70">
        <f>SUM(E53:E55)</f>
        <v>0</v>
      </c>
      <c r="F56" s="71">
        <f>IF($B$60="1/12",E56/12,E56/11)</f>
        <v>0</v>
      </c>
      <c r="G56" s="71"/>
    </row>
    <row r="57" spans="1:14" x14ac:dyDescent="0.25">
      <c r="D57" s="22" t="s">
        <v>274</v>
      </c>
    </row>
    <row r="58" spans="1:14" x14ac:dyDescent="0.25">
      <c r="C58" s="22" t="s">
        <v>210</v>
      </c>
    </row>
    <row r="59" spans="1:14" ht="5.25" customHeight="1" x14ac:dyDescent="0.25">
      <c r="C59" s="22"/>
    </row>
    <row r="60" spans="1:14" x14ac:dyDescent="0.25">
      <c r="A60" t="s">
        <v>217</v>
      </c>
      <c r="B60" s="6" t="str">
        <f>IF(G13=TRUE,"1/11",IF(G14=TRUE,"1/12",IF(G15=TRUE,"1/12","NA")))</f>
        <v>NA</v>
      </c>
      <c r="C60" s="185" t="s">
        <v>273</v>
      </c>
      <c r="D60" s="36"/>
    </row>
    <row r="61" spans="1:14" x14ac:dyDescent="0.25">
      <c r="C61" s="36"/>
      <c r="D61" s="36"/>
    </row>
    <row r="62" spans="1:14" x14ac:dyDescent="0.25">
      <c r="A62" s="164" t="s">
        <v>178</v>
      </c>
      <c r="B62" s="165"/>
      <c r="C62" s="165"/>
      <c r="D62" s="165" t="s">
        <v>179</v>
      </c>
      <c r="E62" s="165"/>
      <c r="F62" s="165"/>
      <c r="G62" s="165"/>
      <c r="H62" s="165"/>
      <c r="I62" s="165"/>
      <c r="J62" s="165"/>
      <c r="K62" s="165"/>
      <c r="L62" s="165"/>
      <c r="M62" s="165"/>
      <c r="N62" s="165"/>
    </row>
    <row r="64" spans="1:14" x14ac:dyDescent="0.25">
      <c r="A64" s="153" t="s">
        <v>231</v>
      </c>
      <c r="B64" s="154"/>
      <c r="C64" s="154"/>
      <c r="D64" s="154"/>
      <c r="E64" s="155"/>
    </row>
    <row r="65" spans="1:11" x14ac:dyDescent="0.25">
      <c r="A65" s="7"/>
      <c r="B65" t="s">
        <v>234</v>
      </c>
      <c r="D65" s="55">
        <f>Lookup!M2</f>
        <v>18491.666666666668</v>
      </c>
      <c r="E65" s="8"/>
    </row>
    <row r="66" spans="1:11" x14ac:dyDescent="0.25">
      <c r="A66" s="9"/>
      <c r="B66" s="10" t="s">
        <v>235</v>
      </c>
      <c r="C66" s="10"/>
      <c r="D66" s="34">
        <f>SUMIF(F29:F32,"NIH",N29:N32)</f>
        <v>0</v>
      </c>
      <c r="E66" s="41" t="str">
        <f>IF(D66&gt;D65,"OVER CAP","")</f>
        <v/>
      </c>
    </row>
    <row r="68" spans="1:11" x14ac:dyDescent="0.25">
      <c r="A68" s="153" t="s">
        <v>115</v>
      </c>
      <c r="B68" s="154"/>
      <c r="C68" s="154"/>
      <c r="D68" s="154"/>
      <c r="E68" s="154"/>
      <c r="F68" s="154"/>
      <c r="G68" s="154"/>
      <c r="H68" s="154"/>
      <c r="I68" s="154"/>
      <c r="J68" s="155"/>
    </row>
    <row r="69" spans="1:11" x14ac:dyDescent="0.25">
      <c r="A69" s="7"/>
      <c r="B69" t="s">
        <v>61</v>
      </c>
      <c r="C69" s="4" t="s">
        <v>62</v>
      </c>
      <c r="D69" s="34">
        <f>SUMIF(F29:F32,"NSF",G29:G32)</f>
        <v>0</v>
      </c>
      <c r="F69" s="4" t="s">
        <v>63</v>
      </c>
      <c r="G69" s="78">
        <f>SUMIF(F29:F32,"NSF",H29:H32)</f>
        <v>0</v>
      </c>
      <c r="J69" s="8"/>
    </row>
    <row r="70" spans="1:11" x14ac:dyDescent="0.25">
      <c r="A70" s="7"/>
      <c r="J70" s="8"/>
    </row>
    <row r="71" spans="1:11" x14ac:dyDescent="0.25">
      <c r="A71" s="7"/>
      <c r="B71" t="s">
        <v>59</v>
      </c>
      <c r="J71" s="272"/>
      <c r="K71" s="122"/>
    </row>
    <row r="72" spans="1:11" x14ac:dyDescent="0.25">
      <c r="A72" s="7"/>
      <c r="J72" s="8"/>
    </row>
    <row r="73" spans="1:11" x14ac:dyDescent="0.25">
      <c r="A73" s="7"/>
      <c r="B73" t="s">
        <v>64</v>
      </c>
      <c r="G73" s="4" t="s">
        <v>104</v>
      </c>
      <c r="H73" s="274"/>
      <c r="I73" s="4" t="s">
        <v>105</v>
      </c>
      <c r="J73" s="273"/>
      <c r="K73" s="168"/>
    </row>
    <row r="74" spans="1:11" x14ac:dyDescent="0.25">
      <c r="A74" s="7"/>
      <c r="J74" s="8"/>
    </row>
    <row r="75" spans="1:11" x14ac:dyDescent="0.25">
      <c r="A75" s="7"/>
      <c r="F75" s="4" t="s">
        <v>107</v>
      </c>
      <c r="G75" s="34">
        <f>G69+H73</f>
        <v>0</v>
      </c>
      <c r="I75" s="4" t="s">
        <v>106</v>
      </c>
      <c r="J75" s="77">
        <f>J73+D69</f>
        <v>0</v>
      </c>
      <c r="K75" s="169"/>
    </row>
    <row r="76" spans="1:11" x14ac:dyDescent="0.25">
      <c r="A76" s="7"/>
      <c r="J76" s="8"/>
    </row>
    <row r="77" spans="1:11" x14ac:dyDescent="0.25">
      <c r="A77" s="7"/>
      <c r="B77" t="s">
        <v>108</v>
      </c>
      <c r="H77" s="64" t="str">
        <f>IF(OR(J75&gt;2,G75&gt;Lookup!L18+0.01),"YES, OVER CAP","No")</f>
        <v>No</v>
      </c>
      <c r="J77" s="8"/>
    </row>
    <row r="78" spans="1:11" x14ac:dyDescent="0.25">
      <c r="A78" s="9"/>
      <c r="B78" s="10" t="s">
        <v>60</v>
      </c>
      <c r="C78" s="10"/>
      <c r="D78" s="10"/>
      <c r="E78" s="10"/>
      <c r="F78" s="10"/>
      <c r="G78" s="10"/>
      <c r="H78" s="10"/>
      <c r="I78" s="10"/>
      <c r="J78" s="11"/>
    </row>
    <row r="79" spans="1:11" x14ac:dyDescent="0.25">
      <c r="A79" s="76"/>
      <c r="B79" s="76"/>
      <c r="C79" s="76"/>
      <c r="D79" s="76"/>
      <c r="E79" s="76"/>
      <c r="F79" s="76"/>
      <c r="G79" s="76"/>
      <c r="H79" s="76"/>
      <c r="I79" s="76"/>
      <c r="J79" s="76"/>
    </row>
    <row r="80" spans="1:11" x14ac:dyDescent="0.25">
      <c r="A80" s="153" t="s">
        <v>258</v>
      </c>
      <c r="B80" s="154"/>
      <c r="C80" s="154"/>
      <c r="D80" s="154"/>
      <c r="E80" s="155"/>
    </row>
    <row r="81" spans="1:14" x14ac:dyDescent="0.25">
      <c r="A81" s="7"/>
      <c r="B81" t="s">
        <v>260</v>
      </c>
      <c r="D81" s="55">
        <f>Lookup!M22</f>
        <v>15991.666666666666</v>
      </c>
      <c r="E81" s="8"/>
    </row>
    <row r="82" spans="1:14" x14ac:dyDescent="0.25">
      <c r="A82" s="9"/>
      <c r="B82" s="10" t="s">
        <v>261</v>
      </c>
      <c r="C82" s="10"/>
      <c r="D82" s="34">
        <f>SUMIF(F29:F32,"NIFA",N29:N32)</f>
        <v>0</v>
      </c>
      <c r="E82" s="41" t="str">
        <f>IF(D82&gt;D81,"OVER CAP","")</f>
        <v/>
      </c>
    </row>
    <row r="84" spans="1:14" x14ac:dyDescent="0.25">
      <c r="A84" s="164" t="s">
        <v>268</v>
      </c>
      <c r="B84" s="165" t="s">
        <v>280</v>
      </c>
      <c r="C84" s="165"/>
      <c r="D84" s="165"/>
      <c r="E84" s="165"/>
      <c r="F84" s="165"/>
      <c r="G84" s="165"/>
      <c r="H84" s="165"/>
      <c r="I84" s="165"/>
      <c r="J84" s="165"/>
      <c r="K84" s="165"/>
      <c r="L84" s="165"/>
      <c r="M84" s="165"/>
      <c r="N84" s="165"/>
    </row>
    <row r="85" spans="1:14" ht="9" customHeight="1" x14ac:dyDescent="0.25"/>
    <row r="86" spans="1:14" ht="49.5" customHeight="1" x14ac:dyDescent="0.25">
      <c r="A86" s="160" t="s">
        <v>266</v>
      </c>
      <c r="B86" s="320"/>
      <c r="C86" s="321"/>
      <c r="D86" s="321"/>
      <c r="E86" s="321"/>
      <c r="F86" s="321"/>
      <c r="G86" s="321"/>
      <c r="H86" s="321"/>
      <c r="I86" s="321"/>
      <c r="J86" s="321"/>
      <c r="K86" s="321"/>
      <c r="L86" s="321"/>
      <c r="M86" s="321"/>
      <c r="N86" s="322"/>
    </row>
    <row r="87" spans="1:14" ht="7.5" customHeight="1" x14ac:dyDescent="0.25"/>
    <row r="88" spans="1:14" ht="30" customHeight="1" x14ac:dyDescent="0.25">
      <c r="B88" s="4" t="s">
        <v>66</v>
      </c>
      <c r="C88" s="340"/>
      <c r="D88" s="340"/>
      <c r="E88" s="340"/>
      <c r="F88" s="340"/>
      <c r="G88" s="340"/>
      <c r="I88" s="341"/>
      <c r="J88" s="341"/>
    </row>
    <row r="89" spans="1:14" x14ac:dyDescent="0.25">
      <c r="D89" s="29" t="s">
        <v>281</v>
      </c>
      <c r="J89" s="29" t="s">
        <v>67</v>
      </c>
    </row>
    <row r="90" spans="1:14" x14ac:dyDescent="0.25">
      <c r="A90" s="164" t="s">
        <v>415</v>
      </c>
      <c r="B90" s="165" t="s">
        <v>416</v>
      </c>
      <c r="C90" s="165"/>
      <c r="D90" s="165"/>
      <c r="E90" s="165"/>
      <c r="F90" s="165"/>
      <c r="G90" s="165"/>
      <c r="H90" s="165"/>
      <c r="I90" s="165"/>
      <c r="J90" s="165"/>
      <c r="K90" s="165"/>
      <c r="L90" s="165"/>
      <c r="M90" s="165"/>
      <c r="N90" s="165"/>
    </row>
    <row r="91" spans="1:14" ht="9" customHeight="1" x14ac:dyDescent="0.25">
      <c r="D91" s="29"/>
      <c r="J91" s="29"/>
    </row>
    <row r="92" spans="1:14" ht="47.25" customHeight="1" x14ac:dyDescent="0.25">
      <c r="A92" s="160" t="s">
        <v>266</v>
      </c>
      <c r="B92" s="320"/>
      <c r="C92" s="321"/>
      <c r="D92" s="321"/>
      <c r="E92" s="321"/>
      <c r="F92" s="321"/>
      <c r="G92" s="321"/>
      <c r="H92" s="321"/>
      <c r="I92" s="321"/>
      <c r="J92" s="321"/>
      <c r="K92" s="321"/>
      <c r="L92" s="321"/>
      <c r="M92" s="321"/>
      <c r="N92" s="322"/>
    </row>
    <row r="93" spans="1:14" ht="6.75" customHeight="1" x14ac:dyDescent="0.25">
      <c r="D93" s="29"/>
      <c r="J93" s="29"/>
    </row>
    <row r="94" spans="1:14" ht="22.5" customHeight="1" x14ac:dyDescent="0.25">
      <c r="B94" s="4" t="s">
        <v>445</v>
      </c>
      <c r="C94" s="340"/>
      <c r="D94" s="340"/>
      <c r="E94" s="340"/>
      <c r="F94" s="340"/>
      <c r="G94" s="340"/>
      <c r="I94" s="341"/>
      <c r="J94" s="341"/>
    </row>
    <row r="95" spans="1:14" x14ac:dyDescent="0.25">
      <c r="D95" s="29" t="s">
        <v>446</v>
      </c>
      <c r="J95" s="29" t="s">
        <v>67</v>
      </c>
    </row>
    <row r="96" spans="1:14" x14ac:dyDescent="0.25">
      <c r="A96" s="342" t="s">
        <v>68</v>
      </c>
      <c r="B96" s="342"/>
      <c r="C96" s="342"/>
      <c r="D96" s="342"/>
      <c r="E96" s="342"/>
      <c r="F96" s="342"/>
      <c r="G96" s="342"/>
      <c r="H96" s="342"/>
      <c r="I96" s="342"/>
      <c r="J96" s="342"/>
      <c r="K96" s="342"/>
      <c r="L96" s="342"/>
      <c r="M96" s="342"/>
      <c r="N96" s="342"/>
    </row>
    <row r="97" spans="1:15" x14ac:dyDescent="0.25">
      <c r="A97" t="s">
        <v>69</v>
      </c>
      <c r="B97" s="6">
        <f>F8</f>
        <v>0</v>
      </c>
      <c r="C97" t="s">
        <v>226</v>
      </c>
      <c r="D97" s="6" t="e">
        <f>VLOOKUP(L6,Lookup!$E$2:$G$23,3,0)</f>
        <v>#N/A</v>
      </c>
      <c r="E97" t="s">
        <v>71</v>
      </c>
      <c r="F97" s="98" t="s">
        <v>98</v>
      </c>
      <c r="H97" s="4" t="s">
        <v>225</v>
      </c>
      <c r="I97" s="314"/>
      <c r="J97" s="314"/>
      <c r="K97" s="166" t="s">
        <v>315</v>
      </c>
      <c r="L97" s="194">
        <f>VLOOKUP(F97,Lookup!$H$2:$I$23,2,0)</f>
        <v>500420</v>
      </c>
    </row>
    <row r="98" spans="1:15" ht="8.25" customHeight="1" x14ac:dyDescent="0.25"/>
    <row r="99" spans="1:15" x14ac:dyDescent="0.25">
      <c r="B99" s="4" t="s">
        <v>99</v>
      </c>
      <c r="C99" s="315"/>
      <c r="D99" s="315"/>
      <c r="E99" s="315"/>
      <c r="F99" s="315"/>
      <c r="G99" s="4" t="s">
        <v>67</v>
      </c>
      <c r="H99" s="316"/>
      <c r="I99" s="316"/>
      <c r="J99" s="316"/>
      <c r="K99" s="167"/>
    </row>
    <row r="100" spans="1:15" ht="8.25" customHeight="1" x14ac:dyDescent="0.25"/>
    <row r="101" spans="1:15" x14ac:dyDescent="0.25">
      <c r="B101" s="4" t="s">
        <v>100</v>
      </c>
      <c r="C101" s="315"/>
      <c r="D101" s="315"/>
      <c r="E101" s="315"/>
      <c r="F101" s="315"/>
      <c r="G101" s="4" t="s">
        <v>67</v>
      </c>
      <c r="H101" s="316"/>
      <c r="I101" s="316"/>
      <c r="J101" s="316"/>
      <c r="K101" s="167"/>
    </row>
    <row r="102" spans="1:15" ht="4.5" customHeight="1" x14ac:dyDescent="0.25">
      <c r="B102" s="4"/>
      <c r="C102" s="184"/>
      <c r="D102" s="184"/>
      <c r="E102" s="184"/>
      <c r="F102" s="184"/>
      <c r="G102" s="4"/>
      <c r="H102" s="167"/>
      <c r="I102" s="167"/>
      <c r="J102" s="167"/>
      <c r="K102" s="167"/>
    </row>
    <row r="103" spans="1:15" x14ac:dyDescent="0.25">
      <c r="B103" s="4"/>
      <c r="C103" s="184" t="s">
        <v>311</v>
      </c>
      <c r="D103" s="184"/>
      <c r="E103" s="184"/>
      <c r="G103" s="188">
        <f>H26</f>
        <v>0</v>
      </c>
      <c r="I103" s="186" t="s">
        <v>310</v>
      </c>
      <c r="J103" s="189"/>
      <c r="K103" s="167" t="s">
        <v>309</v>
      </c>
      <c r="L103" s="187"/>
      <c r="M103" s="187"/>
    </row>
    <row r="104" spans="1:15" ht="14.25" customHeight="1" x14ac:dyDescent="0.25"/>
    <row r="105" spans="1:15" ht="14.25" customHeight="1" x14ac:dyDescent="0.25">
      <c r="A105" s="2" t="s">
        <v>101</v>
      </c>
      <c r="B105" s="31" t="s">
        <v>102</v>
      </c>
      <c r="C105" s="328" t="s">
        <v>103</v>
      </c>
      <c r="D105" s="328"/>
      <c r="E105" s="328"/>
      <c r="F105" s="328"/>
      <c r="G105" s="328"/>
      <c r="H105" s="328"/>
      <c r="I105" s="328"/>
      <c r="J105" s="328"/>
      <c r="K105" s="328"/>
      <c r="L105" s="328"/>
      <c r="M105" s="328"/>
      <c r="N105" s="328"/>
      <c r="O105" s="75"/>
    </row>
    <row r="106" spans="1:15" ht="15.75" customHeight="1" x14ac:dyDescent="0.25">
      <c r="B106" s="171"/>
      <c r="C106" s="326"/>
      <c r="D106" s="326"/>
      <c r="E106" s="326"/>
      <c r="F106" s="326"/>
      <c r="G106" s="326"/>
      <c r="H106" s="326"/>
      <c r="I106" s="326"/>
      <c r="J106" s="326"/>
      <c r="K106" s="326"/>
      <c r="L106" s="326"/>
      <c r="M106" s="326"/>
      <c r="N106" s="326"/>
      <c r="O106" s="1"/>
    </row>
    <row r="107" spans="1:15" ht="15.75" customHeight="1" x14ac:dyDescent="0.25">
      <c r="B107" s="171"/>
      <c r="C107" s="326"/>
      <c r="D107" s="326"/>
      <c r="E107" s="326"/>
      <c r="F107" s="326"/>
      <c r="G107" s="326"/>
      <c r="H107" s="326"/>
      <c r="I107" s="326"/>
      <c r="J107" s="326"/>
      <c r="K107" s="326"/>
      <c r="L107" s="326"/>
      <c r="M107" s="326"/>
      <c r="N107" s="326"/>
      <c r="O107" s="1"/>
    </row>
    <row r="108" spans="1:15" ht="15.75" customHeight="1" x14ac:dyDescent="0.25">
      <c r="B108" s="171"/>
      <c r="C108" s="326"/>
      <c r="D108" s="326"/>
      <c r="E108" s="326"/>
      <c r="F108" s="326"/>
      <c r="G108" s="326"/>
      <c r="H108" s="326"/>
      <c r="I108" s="326"/>
      <c r="J108" s="326"/>
      <c r="K108" s="326"/>
      <c r="L108" s="326"/>
      <c r="M108" s="326"/>
      <c r="N108" s="326"/>
      <c r="O108" s="1"/>
    </row>
    <row r="109" spans="1:15" ht="15.75" customHeight="1" x14ac:dyDescent="0.25">
      <c r="B109" s="171"/>
      <c r="C109" s="326"/>
      <c r="D109" s="326"/>
      <c r="E109" s="326"/>
      <c r="F109" s="326"/>
      <c r="G109" s="326"/>
      <c r="H109" s="326"/>
      <c r="I109" s="326"/>
      <c r="J109" s="326"/>
      <c r="K109" s="326"/>
      <c r="L109" s="326"/>
      <c r="M109" s="326"/>
      <c r="N109" s="326"/>
      <c r="O109" s="1"/>
    </row>
    <row r="110" spans="1:15" ht="15.75" customHeight="1" x14ac:dyDescent="0.25">
      <c r="B110" s="171"/>
      <c r="C110" s="326"/>
      <c r="D110" s="326"/>
      <c r="E110" s="326"/>
      <c r="F110" s="326"/>
      <c r="G110" s="326"/>
      <c r="H110" s="326"/>
      <c r="I110" s="326"/>
      <c r="J110" s="326"/>
      <c r="K110" s="326"/>
      <c r="L110" s="326"/>
      <c r="M110" s="326"/>
      <c r="N110" s="326"/>
      <c r="O110" s="1"/>
    </row>
    <row r="111" spans="1:15" ht="15.75" customHeight="1" x14ac:dyDescent="0.25">
      <c r="B111" s="171"/>
      <c r="C111" s="326"/>
      <c r="D111" s="326"/>
      <c r="E111" s="326"/>
      <c r="F111" s="326"/>
      <c r="G111" s="326"/>
      <c r="H111" s="326"/>
      <c r="I111" s="326"/>
      <c r="J111" s="326"/>
      <c r="K111" s="326"/>
      <c r="L111" s="326"/>
      <c r="M111" s="326"/>
      <c r="N111" s="326"/>
      <c r="O111" s="1"/>
    </row>
  </sheetData>
  <sheetProtection algorithmName="SHA-512" hashValue="oWpEhPw+0K4Yg/oFrHfYWBBj+LXZRCcRuOYTHr3NleFFT0OTqyJJMppAXP7eXKrRQQo/FwlGG3X7vmjnUWq3wA==" saltValue="NqKr/Dqetv1LGZTwyORimA==" spinCount="100000" sheet="1" objects="1" scenarios="1"/>
  <mergeCells count="37">
    <mergeCell ref="B92:N92"/>
    <mergeCell ref="C28:E28"/>
    <mergeCell ref="B6:C6"/>
    <mergeCell ref="A11:J11"/>
    <mergeCell ref="A10:J10"/>
    <mergeCell ref="B86:N86"/>
    <mergeCell ref="C88:G88"/>
    <mergeCell ref="D41:G41"/>
    <mergeCell ref="C29:E29"/>
    <mergeCell ref="C30:E30"/>
    <mergeCell ref="C31:E31"/>
    <mergeCell ref="C32:E32"/>
    <mergeCell ref="B39:N39"/>
    <mergeCell ref="I88:J88"/>
    <mergeCell ref="A46:J46"/>
    <mergeCell ref="A1:N1"/>
    <mergeCell ref="A2:N2"/>
    <mergeCell ref="A3:N3"/>
    <mergeCell ref="L6:M6"/>
    <mergeCell ref="B20:N20"/>
    <mergeCell ref="F6:I6"/>
    <mergeCell ref="A4:N4"/>
    <mergeCell ref="C101:F101"/>
    <mergeCell ref="H101:J101"/>
    <mergeCell ref="C105:N105"/>
    <mergeCell ref="C106:N106"/>
    <mergeCell ref="C111:N111"/>
    <mergeCell ref="C110:N110"/>
    <mergeCell ref="C109:N109"/>
    <mergeCell ref="C108:N108"/>
    <mergeCell ref="C107:N107"/>
    <mergeCell ref="C94:G94"/>
    <mergeCell ref="I94:J94"/>
    <mergeCell ref="A96:N96"/>
    <mergeCell ref="I97:J97"/>
    <mergeCell ref="C99:F99"/>
    <mergeCell ref="H99:J99"/>
  </mergeCells>
  <pageMargins left="0.5" right="0.5" top="0.75" bottom="0.5" header="0.5" footer="0.5"/>
  <pageSetup scale="4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locked="0" defaultSize="0" autoFill="0" autoLine="0" autoPict="0">
                <anchor moveWithCells="1">
                  <from>
                    <xdr:col>5</xdr:col>
                    <xdr:colOff>419100</xdr:colOff>
                    <xdr:row>34</xdr:row>
                    <xdr:rowOff>200025</xdr:rowOff>
                  </from>
                  <to>
                    <xdr:col>5</xdr:col>
                    <xdr:colOff>762000</xdr:colOff>
                    <xdr:row>36</xdr:row>
                    <xdr:rowOff>28575</xdr:rowOff>
                  </to>
                </anchor>
              </controlPr>
            </control>
          </mc:Choice>
        </mc:AlternateContent>
        <mc:AlternateContent xmlns:mc="http://schemas.openxmlformats.org/markup-compatibility/2006">
          <mc:Choice Requires="x14">
            <control shapeId="4099" r:id="rId5" name="Check Box 3">
              <controlPr locked="0" defaultSize="0" autoFill="0" autoLine="0" autoPict="0">
                <anchor moveWithCells="1">
                  <from>
                    <xdr:col>6</xdr:col>
                    <xdr:colOff>495300</xdr:colOff>
                    <xdr:row>35</xdr:row>
                    <xdr:rowOff>0</xdr:rowOff>
                  </from>
                  <to>
                    <xdr:col>6</xdr:col>
                    <xdr:colOff>771525</xdr:colOff>
                    <xdr:row>36</xdr:row>
                    <xdr:rowOff>19050</xdr:rowOff>
                  </to>
                </anchor>
              </controlPr>
            </control>
          </mc:Choice>
        </mc:AlternateContent>
        <mc:AlternateContent xmlns:mc="http://schemas.openxmlformats.org/markup-compatibility/2006">
          <mc:Choice Requires="x14">
            <control shapeId="4100" r:id="rId6" name="Check Box 4">
              <controlPr locked="0" defaultSize="0" autoFill="0" autoLine="0" autoPict="0">
                <anchor moveWithCells="1">
                  <from>
                    <xdr:col>7</xdr:col>
                    <xdr:colOff>523875</xdr:colOff>
                    <xdr:row>34</xdr:row>
                    <xdr:rowOff>200025</xdr:rowOff>
                  </from>
                  <to>
                    <xdr:col>8</xdr:col>
                    <xdr:colOff>28575</xdr:colOff>
                    <xdr:row>36</xdr:row>
                    <xdr:rowOff>9525</xdr:rowOff>
                  </to>
                </anchor>
              </controlPr>
            </control>
          </mc:Choice>
        </mc:AlternateContent>
        <mc:AlternateContent xmlns:mc="http://schemas.openxmlformats.org/markup-compatibility/2006">
          <mc:Choice Requires="x14">
            <control shapeId="4101" r:id="rId7" name="Check Box 5">
              <controlPr locked="0" defaultSize="0" autoFill="0" autoLine="0" autoPict="0">
                <anchor moveWithCells="1">
                  <from>
                    <xdr:col>1</xdr:col>
                    <xdr:colOff>628650</xdr:colOff>
                    <xdr:row>11</xdr:row>
                    <xdr:rowOff>180975</xdr:rowOff>
                  </from>
                  <to>
                    <xdr:col>1</xdr:col>
                    <xdr:colOff>952500</xdr:colOff>
                    <xdr:row>13</xdr:row>
                    <xdr:rowOff>28575</xdr:rowOff>
                  </to>
                </anchor>
              </controlPr>
            </control>
          </mc:Choice>
        </mc:AlternateContent>
        <mc:AlternateContent xmlns:mc="http://schemas.openxmlformats.org/markup-compatibility/2006">
          <mc:Choice Requires="x14">
            <control shapeId="4102" r:id="rId8" name="Check Box 6">
              <controlPr locked="0" defaultSize="0" autoFill="0" autoLine="0" autoPict="0">
                <anchor moveWithCells="1">
                  <from>
                    <xdr:col>1</xdr:col>
                    <xdr:colOff>619125</xdr:colOff>
                    <xdr:row>13</xdr:row>
                    <xdr:rowOff>9525</xdr:rowOff>
                  </from>
                  <to>
                    <xdr:col>1</xdr:col>
                    <xdr:colOff>895350</xdr:colOff>
                    <xdr:row>14</xdr:row>
                    <xdr:rowOff>0</xdr:rowOff>
                  </to>
                </anchor>
              </controlPr>
            </control>
          </mc:Choice>
        </mc:AlternateContent>
        <mc:AlternateContent xmlns:mc="http://schemas.openxmlformats.org/markup-compatibility/2006">
          <mc:Choice Requires="x14">
            <control shapeId="4103" r:id="rId9" name="Check Box 7">
              <controlPr locked="0" defaultSize="0" autoFill="0" autoLine="0" autoPict="0">
                <anchor moveWithCells="1">
                  <from>
                    <xdr:col>1</xdr:col>
                    <xdr:colOff>619125</xdr:colOff>
                    <xdr:row>13</xdr:row>
                    <xdr:rowOff>190500</xdr:rowOff>
                  </from>
                  <to>
                    <xdr:col>1</xdr:col>
                    <xdr:colOff>847725</xdr:colOff>
                    <xdr:row>14</xdr:row>
                    <xdr:rowOff>180975</xdr:rowOff>
                  </to>
                </anchor>
              </controlPr>
            </control>
          </mc:Choice>
        </mc:AlternateContent>
        <mc:AlternateContent xmlns:mc="http://schemas.openxmlformats.org/markup-compatibility/2006">
          <mc:Choice Requires="x14">
            <control shapeId="4107" r:id="rId10" name="Check Box 11">
              <controlPr locked="0" defaultSize="0" autoFill="0" autoLine="0" autoPict="0">
                <anchor moveWithCells="1">
                  <from>
                    <xdr:col>1</xdr:col>
                    <xdr:colOff>1028700</xdr:colOff>
                    <xdr:row>102</xdr:row>
                    <xdr:rowOff>0</xdr:rowOff>
                  </from>
                  <to>
                    <xdr:col>2</xdr:col>
                    <xdr:colOff>123825</xdr:colOff>
                    <xdr:row>103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Lookup!$A$1:$A$2</xm:f>
          </x14:formula1>
          <xm:sqref>I97:J97 J71 F37 E35:E36</xm:sqref>
        </x14:dataValidation>
        <x14:dataValidation type="list" allowBlank="1" showInputMessage="1" showErrorMessage="1" xr:uid="{00000000-0002-0000-0400-000001000000}">
          <x14:formula1>
            <xm:f>Lookup!$A$21:$A$25</xm:f>
          </x14:formula1>
          <xm:sqref>F97</xm:sqref>
        </x14:dataValidation>
        <x14:dataValidation type="list" allowBlank="1" showInputMessage="1" showErrorMessage="1" xr:uid="{00000000-0002-0000-0400-000002000000}">
          <x14:formula1>
            <xm:f>Lookup!$C$1:$C$7</xm:f>
          </x14:formula1>
          <xm:sqref>F29:F32</xm:sqref>
        </x14:dataValidation>
        <x14:dataValidation type="list" allowBlank="1" showInputMessage="1" showErrorMessage="1" xr:uid="{00000000-0002-0000-0400-000003000000}">
          <x14:formula1>
            <xm:f>Lookup!$A$32:$A$33</xm:f>
          </x14:formula1>
          <xm:sqref>C8</xm:sqref>
        </x14:dataValidation>
        <x14:dataValidation type="list" allowBlank="1" showInputMessage="1" showErrorMessage="1" xr:uid="{00000000-0002-0000-0400-000004000000}">
          <x14:formula1>
            <xm:f>Lookup!$E$12:$E$23</xm:f>
          </x14:formula1>
          <xm:sqref>L6:M6</xm:sqref>
        </x14:dataValidation>
        <x14:dataValidation type="list" allowBlank="1" showInputMessage="1" showErrorMessage="1" xr:uid="{00000000-0002-0000-0400-000005000000}">
          <x14:formula1>
            <xm:f>Lookup!$C$30:$C$44</xm:f>
          </x14:formula1>
          <xm:sqref>F6:I6</xm:sqref>
        </x14:dataValidation>
        <x14:dataValidation type="list" allowBlank="1" showInputMessage="1" showErrorMessage="1" xr:uid="{00000000-0002-0000-0400-000006000000}">
          <x14:formula1>
            <xm:f>Lookup!$E$43:$E$60</xm:f>
          </x14:formula1>
          <xm:sqref>B30:B32</xm:sqref>
        </x14:dataValidation>
        <x14:dataValidation type="list" allowBlank="1" showInputMessage="1" showErrorMessage="1" xr:uid="{00000000-0002-0000-0400-000007000000}">
          <x14:formula1>
            <xm:f>Lookup!$E$43:$E$66</xm:f>
          </x14:formula1>
          <xm:sqref>B29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election activeCell="P15" sqref="P15"/>
    </sheetView>
  </sheetViews>
  <sheetFormatPr defaultRowHeight="15" x14ac:dyDescent="0.25"/>
  <sheetData>
    <row r="1" spans="1:1" x14ac:dyDescent="0.25">
      <c r="A1" s="2" t="s">
        <v>312</v>
      </c>
    </row>
    <row r="2" spans="1:1" x14ac:dyDescent="0.25">
      <c r="A2" t="s">
        <v>325</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39"/>
  <sheetViews>
    <sheetView workbookViewId="0">
      <selection activeCell="B23" sqref="B23"/>
    </sheetView>
  </sheetViews>
  <sheetFormatPr defaultRowHeight="15" x14ac:dyDescent="0.25"/>
  <cols>
    <col min="1" max="1" width="4.85546875" customWidth="1"/>
  </cols>
  <sheetData>
    <row r="1" spans="1:2" x14ac:dyDescent="0.25">
      <c r="A1" s="2" t="s">
        <v>276</v>
      </c>
    </row>
    <row r="2" spans="1:2" x14ac:dyDescent="0.25">
      <c r="B2" t="s">
        <v>277</v>
      </c>
    </row>
    <row r="3" spans="1:2" x14ac:dyDescent="0.25">
      <c r="B3" t="s">
        <v>278</v>
      </c>
    </row>
    <row r="19" spans="1:3" x14ac:dyDescent="0.25">
      <c r="A19" s="2" t="s">
        <v>195</v>
      </c>
    </row>
    <row r="20" spans="1:3" x14ac:dyDescent="0.25">
      <c r="B20" t="s">
        <v>279</v>
      </c>
    </row>
    <row r="21" spans="1:3" ht="7.5" customHeight="1" x14ac:dyDescent="0.25"/>
    <row r="22" spans="1:3" x14ac:dyDescent="0.25">
      <c r="B22" t="s">
        <v>413</v>
      </c>
    </row>
    <row r="23" spans="1:3" x14ac:dyDescent="0.25">
      <c r="C23" t="s">
        <v>414</v>
      </c>
    </row>
    <row r="24" spans="1:3" x14ac:dyDescent="0.25">
      <c r="A24" s="2"/>
    </row>
    <row r="39" spans="1:1" x14ac:dyDescent="0.25">
      <c r="A39" t="s">
        <v>412</v>
      </c>
    </row>
  </sheetData>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88"/>
  <sheetViews>
    <sheetView workbookViewId="0">
      <selection activeCell="L18" sqref="L18"/>
    </sheetView>
  </sheetViews>
  <sheetFormatPr defaultRowHeight="15" x14ac:dyDescent="0.25"/>
  <cols>
    <col min="1" max="1" width="11.42578125" customWidth="1"/>
    <col min="2" max="2" width="1.85546875" customWidth="1"/>
    <col min="3" max="3" width="31.28515625" customWidth="1"/>
    <col min="4" max="4" width="13.42578125" customWidth="1"/>
    <col min="5" max="5" width="28.7109375" customWidth="1"/>
    <col min="6" max="6" width="9.7109375" customWidth="1"/>
    <col min="7" max="7" width="10.140625" customWidth="1"/>
    <col min="9" max="9" width="8.42578125" customWidth="1"/>
    <col min="10" max="10" width="2.7109375" customWidth="1"/>
    <col min="12" max="12" width="18" customWidth="1"/>
    <col min="13" max="14" width="10.5703125" bestFit="1" customWidth="1"/>
    <col min="16" max="16" width="9.5703125" bestFit="1" customWidth="1"/>
    <col min="17" max="17" width="10.5703125" customWidth="1"/>
  </cols>
  <sheetData>
    <row r="1" spans="1:18" x14ac:dyDescent="0.25">
      <c r="A1" t="s">
        <v>22</v>
      </c>
      <c r="C1" t="s">
        <v>24</v>
      </c>
      <c r="E1" s="207" t="s">
        <v>417</v>
      </c>
      <c r="K1" t="s">
        <v>47</v>
      </c>
      <c r="L1" t="s">
        <v>48</v>
      </c>
      <c r="M1" t="s">
        <v>228</v>
      </c>
      <c r="N1" t="s">
        <v>229</v>
      </c>
      <c r="Q1" s="126" t="s">
        <v>238</v>
      </c>
      <c r="R1" s="126" t="s">
        <v>237</v>
      </c>
    </row>
    <row r="2" spans="1:18" x14ac:dyDescent="0.25">
      <c r="A2" t="s">
        <v>23</v>
      </c>
      <c r="C2" t="s">
        <v>25</v>
      </c>
      <c r="E2" t="s">
        <v>30</v>
      </c>
      <c r="F2" s="28" t="s">
        <v>77</v>
      </c>
      <c r="G2" s="28" t="s">
        <v>86</v>
      </c>
      <c r="H2" t="s">
        <v>73</v>
      </c>
      <c r="I2">
        <v>500420</v>
      </c>
      <c r="K2">
        <v>2024</v>
      </c>
      <c r="L2" s="19">
        <v>221900</v>
      </c>
      <c r="M2" s="19">
        <f>L2/12</f>
        <v>18491.666666666668</v>
      </c>
      <c r="N2" s="38">
        <f>M2*3</f>
        <v>55475</v>
      </c>
      <c r="Q2" s="126"/>
    </row>
    <row r="3" spans="1:18" x14ac:dyDescent="0.25">
      <c r="C3" t="s">
        <v>252</v>
      </c>
      <c r="E3" t="s">
        <v>32</v>
      </c>
      <c r="F3" s="28" t="s">
        <v>78</v>
      </c>
      <c r="G3" s="28" t="s">
        <v>88</v>
      </c>
      <c r="H3" t="s">
        <v>73</v>
      </c>
      <c r="I3">
        <v>500420</v>
      </c>
      <c r="K3">
        <v>2023</v>
      </c>
      <c r="L3" s="19">
        <v>212100</v>
      </c>
      <c r="M3" s="19">
        <f>L3/12</f>
        <v>17675</v>
      </c>
      <c r="N3" s="38">
        <f>M3*3</f>
        <v>53025</v>
      </c>
      <c r="P3" s="38"/>
    </row>
    <row r="4" spans="1:18" x14ac:dyDescent="0.25">
      <c r="C4" t="s">
        <v>26</v>
      </c>
      <c r="E4" t="s">
        <v>34</v>
      </c>
      <c r="F4" s="28" t="s">
        <v>81</v>
      </c>
      <c r="G4" s="28" t="s">
        <v>90</v>
      </c>
      <c r="H4" t="s">
        <v>73</v>
      </c>
      <c r="I4">
        <v>500420</v>
      </c>
      <c r="K4">
        <v>2022</v>
      </c>
      <c r="L4" s="19">
        <v>203700</v>
      </c>
      <c r="M4" s="19">
        <f t="shared" ref="M4:M11" si="0">L4/12</f>
        <v>16975</v>
      </c>
      <c r="N4" s="38">
        <f t="shared" ref="N4:N11" si="1">M4*3</f>
        <v>50925</v>
      </c>
    </row>
    <row r="5" spans="1:18" x14ac:dyDescent="0.25">
      <c r="A5" t="s">
        <v>39</v>
      </c>
      <c r="C5" t="s">
        <v>27</v>
      </c>
      <c r="D5" s="74"/>
      <c r="E5" t="s">
        <v>36</v>
      </c>
      <c r="F5" s="28" t="s">
        <v>84</v>
      </c>
      <c r="G5" s="28" t="s">
        <v>92</v>
      </c>
      <c r="H5" t="s">
        <v>73</v>
      </c>
      <c r="I5">
        <v>500420</v>
      </c>
      <c r="K5">
        <v>2021</v>
      </c>
      <c r="L5" s="19">
        <v>199300</v>
      </c>
      <c r="M5" s="19">
        <f t="shared" si="0"/>
        <v>16608.333333333332</v>
      </c>
      <c r="N5" s="38">
        <f t="shared" si="1"/>
        <v>49825</v>
      </c>
    </row>
    <row r="6" spans="1:18" x14ac:dyDescent="0.25">
      <c r="A6" t="s">
        <v>40</v>
      </c>
      <c r="C6" t="s">
        <v>28</v>
      </c>
      <c r="E6" t="s">
        <v>37</v>
      </c>
      <c r="F6" s="28" t="s">
        <v>83</v>
      </c>
      <c r="G6" s="28" t="s">
        <v>93</v>
      </c>
      <c r="H6" t="s">
        <v>73</v>
      </c>
      <c r="I6">
        <v>500420</v>
      </c>
      <c r="K6">
        <v>2020</v>
      </c>
      <c r="L6" s="19">
        <v>197300</v>
      </c>
      <c r="M6" s="19">
        <f t="shared" si="0"/>
        <v>16441.666666666668</v>
      </c>
      <c r="N6" s="38">
        <f t="shared" si="1"/>
        <v>49325</v>
      </c>
    </row>
    <row r="7" spans="1:18" x14ac:dyDescent="0.25">
      <c r="A7" t="s">
        <v>41</v>
      </c>
      <c r="C7" t="s">
        <v>29</v>
      </c>
      <c r="E7" t="s">
        <v>38</v>
      </c>
      <c r="F7" s="28" t="s">
        <v>85</v>
      </c>
      <c r="G7" s="28" t="s">
        <v>94</v>
      </c>
      <c r="H7" t="s">
        <v>73</v>
      </c>
      <c r="I7">
        <v>500420</v>
      </c>
      <c r="K7">
        <v>2019</v>
      </c>
      <c r="L7" s="19">
        <v>192300</v>
      </c>
      <c r="M7" s="19">
        <f t="shared" si="0"/>
        <v>16025</v>
      </c>
      <c r="N7" s="38">
        <f t="shared" si="1"/>
        <v>48075</v>
      </c>
    </row>
    <row r="8" spans="1:18" x14ac:dyDescent="0.25">
      <c r="A8" t="s">
        <v>42</v>
      </c>
      <c r="E8" t="s">
        <v>196</v>
      </c>
      <c r="F8" s="28" t="s">
        <v>197</v>
      </c>
      <c r="G8" s="28" t="s">
        <v>197</v>
      </c>
      <c r="H8" t="s">
        <v>74</v>
      </c>
      <c r="I8">
        <v>500420</v>
      </c>
      <c r="K8">
        <v>2018</v>
      </c>
      <c r="L8" s="19">
        <v>189600</v>
      </c>
      <c r="M8" s="19">
        <f t="shared" si="0"/>
        <v>15800</v>
      </c>
      <c r="N8" s="38">
        <f t="shared" si="1"/>
        <v>47400</v>
      </c>
    </row>
    <row r="9" spans="1:18" x14ac:dyDescent="0.25">
      <c r="E9" t="s">
        <v>198</v>
      </c>
      <c r="F9" s="28" t="s">
        <v>199</v>
      </c>
      <c r="G9" s="28" t="s">
        <v>199</v>
      </c>
      <c r="H9" t="s">
        <v>74</v>
      </c>
      <c r="I9">
        <v>500420</v>
      </c>
      <c r="K9">
        <v>2017</v>
      </c>
      <c r="L9" s="19">
        <v>187000</v>
      </c>
      <c r="M9" s="19">
        <f t="shared" si="0"/>
        <v>15583.333333333334</v>
      </c>
      <c r="N9" s="38">
        <f t="shared" si="1"/>
        <v>46750</v>
      </c>
    </row>
    <row r="10" spans="1:18" x14ac:dyDescent="0.25">
      <c r="E10" t="s">
        <v>200</v>
      </c>
      <c r="F10" s="28" t="s">
        <v>201</v>
      </c>
      <c r="G10" s="28" t="s">
        <v>201</v>
      </c>
      <c r="H10" t="s">
        <v>74</v>
      </c>
      <c r="I10">
        <v>500420</v>
      </c>
      <c r="K10">
        <v>2016</v>
      </c>
      <c r="L10" s="19">
        <v>185100</v>
      </c>
      <c r="M10" s="19">
        <f t="shared" si="0"/>
        <v>15425</v>
      </c>
      <c r="N10" s="38">
        <f t="shared" si="1"/>
        <v>46275</v>
      </c>
    </row>
    <row r="11" spans="1:18" x14ac:dyDescent="0.25">
      <c r="A11" s="28" t="s">
        <v>53</v>
      </c>
      <c r="C11" t="s">
        <v>40</v>
      </c>
      <c r="F11" s="28"/>
      <c r="G11" s="28"/>
      <c r="K11">
        <v>2015</v>
      </c>
      <c r="L11" s="19">
        <v>183300</v>
      </c>
      <c r="M11" s="19">
        <f t="shared" si="0"/>
        <v>15275</v>
      </c>
      <c r="N11" s="38">
        <f t="shared" si="1"/>
        <v>45825</v>
      </c>
    </row>
    <row r="12" spans="1:18" x14ac:dyDescent="0.25">
      <c r="A12" s="28" t="s">
        <v>54</v>
      </c>
      <c r="C12" t="s">
        <v>41</v>
      </c>
      <c r="E12" t="s">
        <v>283</v>
      </c>
      <c r="F12" s="28" t="s">
        <v>284</v>
      </c>
      <c r="G12" s="28" t="s">
        <v>95</v>
      </c>
      <c r="H12" t="s">
        <v>98</v>
      </c>
      <c r="I12">
        <v>500420</v>
      </c>
      <c r="L12" s="18"/>
    </row>
    <row r="13" spans="1:18" x14ac:dyDescent="0.25">
      <c r="A13" s="28" t="s">
        <v>55</v>
      </c>
      <c r="C13" t="s">
        <v>42</v>
      </c>
      <c r="E13" t="s">
        <v>285</v>
      </c>
      <c r="F13" s="28" t="s">
        <v>286</v>
      </c>
      <c r="G13" s="28" t="s">
        <v>96</v>
      </c>
      <c r="H13" t="s">
        <v>98</v>
      </c>
      <c r="I13">
        <v>500420</v>
      </c>
      <c r="K13" s="20" t="s">
        <v>49</v>
      </c>
    </row>
    <row r="14" spans="1:18" x14ac:dyDescent="0.25">
      <c r="A14" s="28" t="s">
        <v>56</v>
      </c>
      <c r="C14" t="s">
        <v>180</v>
      </c>
      <c r="E14" t="s">
        <v>287</v>
      </c>
      <c r="F14" s="28" t="s">
        <v>288</v>
      </c>
      <c r="G14" s="28" t="s">
        <v>97</v>
      </c>
      <c r="H14" t="s">
        <v>98</v>
      </c>
      <c r="I14">
        <v>500420</v>
      </c>
    </row>
    <row r="15" spans="1:18" x14ac:dyDescent="0.25">
      <c r="A15" s="28" t="s">
        <v>57</v>
      </c>
      <c r="C15" t="s">
        <v>181</v>
      </c>
      <c r="E15" t="s">
        <v>241</v>
      </c>
      <c r="F15" s="28" t="s">
        <v>240</v>
      </c>
      <c r="G15" s="28" t="s">
        <v>95</v>
      </c>
      <c r="H15" t="s">
        <v>98</v>
      </c>
      <c r="I15">
        <v>500420</v>
      </c>
    </row>
    <row r="16" spans="1:18" x14ac:dyDescent="0.25">
      <c r="A16" s="28"/>
      <c r="C16" t="s">
        <v>182</v>
      </c>
      <c r="E16" t="s">
        <v>242</v>
      </c>
      <c r="F16" s="28" t="s">
        <v>244</v>
      </c>
      <c r="G16" s="28" t="s">
        <v>96</v>
      </c>
      <c r="H16" t="s">
        <v>98</v>
      </c>
      <c r="I16">
        <v>500420</v>
      </c>
      <c r="K16" t="s">
        <v>51</v>
      </c>
      <c r="L16" s="80">
        <f>'Summer Salary CNAS'!G22*2</f>
        <v>0</v>
      </c>
      <c r="M16" t="s">
        <v>140</v>
      </c>
    </row>
    <row r="17" spans="1:14" x14ac:dyDescent="0.25">
      <c r="A17" s="28"/>
      <c r="C17" t="s">
        <v>187</v>
      </c>
      <c r="E17" t="s">
        <v>243</v>
      </c>
      <c r="F17" s="28" t="s">
        <v>245</v>
      </c>
      <c r="G17" s="28" t="s">
        <v>97</v>
      </c>
      <c r="H17" t="s">
        <v>98</v>
      </c>
      <c r="I17">
        <v>500420</v>
      </c>
      <c r="L17" s="79">
        <f>'NSTP Summer Salary'!J34*2</f>
        <v>0</v>
      </c>
      <c r="M17" t="s">
        <v>141</v>
      </c>
    </row>
    <row r="18" spans="1:14" x14ac:dyDescent="0.25">
      <c r="A18" s="28"/>
      <c r="C18" t="s">
        <v>183</v>
      </c>
      <c r="E18" t="s">
        <v>219</v>
      </c>
      <c r="F18" s="28" t="s">
        <v>222</v>
      </c>
      <c r="G18" s="28" t="s">
        <v>95</v>
      </c>
      <c r="H18" t="s">
        <v>98</v>
      </c>
      <c r="I18">
        <v>500420</v>
      </c>
      <c r="L18" s="79">
        <f>'Additional Comp'!F56*2</f>
        <v>0</v>
      </c>
      <c r="M18" t="s">
        <v>230</v>
      </c>
    </row>
    <row r="19" spans="1:14" x14ac:dyDescent="0.25">
      <c r="A19" s="28"/>
      <c r="C19" t="s">
        <v>184</v>
      </c>
      <c r="E19" t="s">
        <v>220</v>
      </c>
      <c r="F19" s="28" t="s">
        <v>223</v>
      </c>
      <c r="G19" s="28" t="s">
        <v>96</v>
      </c>
      <c r="H19" t="s">
        <v>98</v>
      </c>
      <c r="I19">
        <v>500420</v>
      </c>
    </row>
    <row r="20" spans="1:14" x14ac:dyDescent="0.25">
      <c r="A20" s="28"/>
      <c r="C20" t="s">
        <v>185</v>
      </c>
      <c r="E20" t="s">
        <v>221</v>
      </c>
      <c r="F20" s="28" t="s">
        <v>224</v>
      </c>
      <c r="G20" s="28" t="s">
        <v>97</v>
      </c>
      <c r="H20" t="s">
        <v>98</v>
      </c>
      <c r="I20">
        <v>500420</v>
      </c>
    </row>
    <row r="21" spans="1:14" x14ac:dyDescent="0.25">
      <c r="A21" t="s">
        <v>73</v>
      </c>
      <c r="C21" t="s">
        <v>186</v>
      </c>
      <c r="E21" t="s">
        <v>196</v>
      </c>
      <c r="F21" s="28" t="s">
        <v>197</v>
      </c>
      <c r="G21" s="28" t="s">
        <v>197</v>
      </c>
      <c r="H21" t="s">
        <v>74</v>
      </c>
      <c r="I21">
        <v>500420</v>
      </c>
      <c r="K21" t="s">
        <v>253</v>
      </c>
      <c r="L21" t="s">
        <v>254</v>
      </c>
      <c r="M21" t="s">
        <v>255</v>
      </c>
      <c r="N21" t="s">
        <v>256</v>
      </c>
    </row>
    <row r="22" spans="1:14" x14ac:dyDescent="0.25">
      <c r="A22" t="s">
        <v>98</v>
      </c>
      <c r="C22" t="s">
        <v>39</v>
      </c>
      <c r="E22" t="s">
        <v>198</v>
      </c>
      <c r="F22" s="28" t="s">
        <v>199</v>
      </c>
      <c r="G22" s="28" t="s">
        <v>199</v>
      </c>
      <c r="H22" t="s">
        <v>74</v>
      </c>
      <c r="I22">
        <v>500420</v>
      </c>
      <c r="K22">
        <v>2024</v>
      </c>
      <c r="L22" s="19">
        <v>191900</v>
      </c>
      <c r="M22" s="38">
        <f>L22/12</f>
        <v>15991.666666666666</v>
      </c>
      <c r="N22" s="38">
        <f>M22*3</f>
        <v>47975</v>
      </c>
    </row>
    <row r="23" spans="1:14" x14ac:dyDescent="0.25">
      <c r="A23" t="s">
        <v>74</v>
      </c>
      <c r="E23" t="s">
        <v>200</v>
      </c>
      <c r="F23" s="28" t="s">
        <v>201</v>
      </c>
      <c r="G23" s="28" t="s">
        <v>201</v>
      </c>
      <c r="H23" t="s">
        <v>74</v>
      </c>
      <c r="I23">
        <v>500420</v>
      </c>
      <c r="K23">
        <v>2023</v>
      </c>
      <c r="L23" s="19">
        <v>188500</v>
      </c>
      <c r="M23" s="38">
        <f>L23/12</f>
        <v>15708.333333333334</v>
      </c>
      <c r="N23" s="38">
        <f>M23*3</f>
        <v>47125</v>
      </c>
    </row>
    <row r="24" spans="1:14" x14ac:dyDescent="0.25">
      <c r="A24" t="s">
        <v>75</v>
      </c>
    </row>
    <row r="25" spans="1:14" x14ac:dyDescent="0.25">
      <c r="A25" t="s">
        <v>76</v>
      </c>
      <c r="E25" s="210" t="s">
        <v>418</v>
      </c>
      <c r="K25" s="20" t="s">
        <v>257</v>
      </c>
    </row>
    <row r="26" spans="1:14" x14ac:dyDescent="0.25">
      <c r="E26" t="s">
        <v>30</v>
      </c>
      <c r="F26" s="28" t="s">
        <v>77</v>
      </c>
      <c r="G26" s="28" t="s">
        <v>86</v>
      </c>
      <c r="H26" t="s">
        <v>73</v>
      </c>
      <c r="I26">
        <v>500420</v>
      </c>
    </row>
    <row r="27" spans="1:14" x14ac:dyDescent="0.25">
      <c r="E27" s="74" t="s">
        <v>31</v>
      </c>
      <c r="F27" s="208" t="s">
        <v>79</v>
      </c>
      <c r="G27" s="208" t="s">
        <v>87</v>
      </c>
      <c r="H27" s="74" t="s">
        <v>73</v>
      </c>
      <c r="I27">
        <v>500420</v>
      </c>
    </row>
    <row r="28" spans="1:14" x14ac:dyDescent="0.25">
      <c r="A28" s="28" t="s">
        <v>192</v>
      </c>
      <c r="E28" t="s">
        <v>32</v>
      </c>
      <c r="F28" s="28" t="s">
        <v>78</v>
      </c>
      <c r="G28" s="28" t="s">
        <v>88</v>
      </c>
      <c r="H28" t="s">
        <v>73</v>
      </c>
      <c r="I28">
        <v>500420</v>
      </c>
    </row>
    <row r="29" spans="1:14" x14ac:dyDescent="0.25">
      <c r="A29" s="28" t="s">
        <v>193</v>
      </c>
      <c r="E29" s="74" t="s">
        <v>33</v>
      </c>
      <c r="F29" s="208" t="s">
        <v>80</v>
      </c>
      <c r="G29" s="208" t="s">
        <v>89</v>
      </c>
      <c r="H29" s="74" t="s">
        <v>73</v>
      </c>
      <c r="I29">
        <v>500420</v>
      </c>
    </row>
    <row r="30" spans="1:14" x14ac:dyDescent="0.25">
      <c r="C30" s="179" t="s">
        <v>289</v>
      </c>
      <c r="E30" t="s">
        <v>34</v>
      </c>
      <c r="F30" s="28" t="s">
        <v>81</v>
      </c>
      <c r="G30" s="28" t="s">
        <v>90</v>
      </c>
      <c r="H30" t="s">
        <v>73</v>
      </c>
      <c r="I30">
        <v>500420</v>
      </c>
    </row>
    <row r="31" spans="1:14" x14ac:dyDescent="0.25">
      <c r="C31" s="179" t="s">
        <v>290</v>
      </c>
      <c r="E31" s="74" t="s">
        <v>35</v>
      </c>
      <c r="F31" s="208" t="s">
        <v>82</v>
      </c>
      <c r="G31" s="208" t="s">
        <v>91</v>
      </c>
      <c r="H31" s="74" t="s">
        <v>73</v>
      </c>
      <c r="I31">
        <v>500420</v>
      </c>
    </row>
    <row r="32" spans="1:14" x14ac:dyDescent="0.25">
      <c r="A32" t="s">
        <v>263</v>
      </c>
      <c r="C32" s="179" t="s">
        <v>291</v>
      </c>
      <c r="E32" t="s">
        <v>423</v>
      </c>
      <c r="F32" s="28" t="s">
        <v>429</v>
      </c>
      <c r="G32" s="28" t="s">
        <v>430</v>
      </c>
      <c r="H32" t="s">
        <v>73</v>
      </c>
      <c r="I32">
        <v>500420</v>
      </c>
    </row>
    <row r="33" spans="1:9" x14ac:dyDescent="0.25">
      <c r="A33" t="s">
        <v>264</v>
      </c>
      <c r="C33" s="179" t="s">
        <v>292</v>
      </c>
      <c r="E33" t="s">
        <v>425</v>
      </c>
      <c r="F33" s="28" t="s">
        <v>424</v>
      </c>
      <c r="G33" s="28" t="s">
        <v>431</v>
      </c>
      <c r="H33" t="s">
        <v>73</v>
      </c>
      <c r="I33">
        <v>500420</v>
      </c>
    </row>
    <row r="34" spans="1:9" x14ac:dyDescent="0.25">
      <c r="C34" s="179" t="s">
        <v>293</v>
      </c>
      <c r="E34" t="s">
        <v>426</v>
      </c>
      <c r="F34" s="28" t="s">
        <v>427</v>
      </c>
      <c r="G34" s="28" t="s">
        <v>428</v>
      </c>
      <c r="H34" t="s">
        <v>73</v>
      </c>
      <c r="I34">
        <v>500420</v>
      </c>
    </row>
    <row r="35" spans="1:9" x14ac:dyDescent="0.25">
      <c r="C35" s="179" t="s">
        <v>294</v>
      </c>
      <c r="E35" t="s">
        <v>196</v>
      </c>
      <c r="F35" s="28" t="s">
        <v>197</v>
      </c>
      <c r="G35" s="28" t="s">
        <v>197</v>
      </c>
      <c r="H35" t="s">
        <v>74</v>
      </c>
      <c r="I35">
        <v>500420</v>
      </c>
    </row>
    <row r="36" spans="1:9" x14ac:dyDescent="0.25">
      <c r="C36" s="179" t="s">
        <v>295</v>
      </c>
      <c r="E36" t="s">
        <v>198</v>
      </c>
      <c r="F36" s="28" t="s">
        <v>199</v>
      </c>
      <c r="G36" s="28" t="s">
        <v>199</v>
      </c>
      <c r="H36" t="s">
        <v>74</v>
      </c>
      <c r="I36">
        <v>500420</v>
      </c>
    </row>
    <row r="37" spans="1:9" x14ac:dyDescent="0.25">
      <c r="C37" s="179" t="s">
        <v>296</v>
      </c>
      <c r="E37" t="s">
        <v>200</v>
      </c>
      <c r="F37" s="28" t="s">
        <v>201</v>
      </c>
      <c r="G37" s="28" t="s">
        <v>201</v>
      </c>
      <c r="H37" t="s">
        <v>74</v>
      </c>
      <c r="I37">
        <v>500420</v>
      </c>
    </row>
    <row r="38" spans="1:9" x14ac:dyDescent="0.25">
      <c r="C38" s="179" t="s">
        <v>297</v>
      </c>
    </row>
    <row r="39" spans="1:9" x14ac:dyDescent="0.25">
      <c r="C39" s="179" t="s">
        <v>298</v>
      </c>
    </row>
    <row r="40" spans="1:9" x14ac:dyDescent="0.25">
      <c r="C40" s="179" t="s">
        <v>299</v>
      </c>
    </row>
    <row r="41" spans="1:9" x14ac:dyDescent="0.25">
      <c r="C41" s="179" t="s">
        <v>300</v>
      </c>
    </row>
    <row r="42" spans="1:9" x14ac:dyDescent="0.25">
      <c r="C42" s="179" t="s">
        <v>301</v>
      </c>
      <c r="E42" t="s">
        <v>202</v>
      </c>
      <c r="F42" t="s">
        <v>205</v>
      </c>
      <c r="G42" t="s">
        <v>203</v>
      </c>
      <c r="H42" t="s">
        <v>204</v>
      </c>
    </row>
    <row r="43" spans="1:9" x14ac:dyDescent="0.25">
      <c r="C43" s="179" t="s">
        <v>302</v>
      </c>
      <c r="E43" s="28" t="s">
        <v>372</v>
      </c>
      <c r="F43">
        <v>184</v>
      </c>
      <c r="G43">
        <v>24</v>
      </c>
      <c r="H43">
        <f t="shared" ref="H43:H66" si="2">F43-G43</f>
        <v>160</v>
      </c>
    </row>
    <row r="44" spans="1:9" x14ac:dyDescent="0.25">
      <c r="C44" s="179" t="s">
        <v>303</v>
      </c>
      <c r="E44" s="28" t="s">
        <v>373</v>
      </c>
      <c r="F44">
        <v>160</v>
      </c>
      <c r="G44">
        <v>24</v>
      </c>
      <c r="H44">
        <f t="shared" si="2"/>
        <v>136</v>
      </c>
    </row>
    <row r="45" spans="1:9" x14ac:dyDescent="0.25">
      <c r="C45" s="203" t="s">
        <v>327</v>
      </c>
      <c r="E45" s="28" t="s">
        <v>374</v>
      </c>
      <c r="F45">
        <v>184</v>
      </c>
      <c r="G45">
        <v>0</v>
      </c>
      <c r="H45">
        <f t="shared" si="2"/>
        <v>184</v>
      </c>
    </row>
    <row r="46" spans="1:9" x14ac:dyDescent="0.25">
      <c r="C46" s="203" t="s">
        <v>328</v>
      </c>
      <c r="E46" s="28" t="s">
        <v>375</v>
      </c>
      <c r="F46">
        <v>176</v>
      </c>
      <c r="G46">
        <v>8</v>
      </c>
      <c r="H46">
        <f t="shared" si="2"/>
        <v>168</v>
      </c>
    </row>
    <row r="47" spans="1:9" x14ac:dyDescent="0.25">
      <c r="C47" s="203" t="s">
        <v>329</v>
      </c>
      <c r="E47" s="28" t="s">
        <v>376</v>
      </c>
      <c r="F47">
        <v>168</v>
      </c>
      <c r="G47">
        <v>0</v>
      </c>
      <c r="H47">
        <f t="shared" si="2"/>
        <v>168</v>
      </c>
    </row>
    <row r="48" spans="1:9" x14ac:dyDescent="0.25">
      <c r="C48" s="203" t="s">
        <v>330</v>
      </c>
      <c r="E48" s="28" t="s">
        <v>377</v>
      </c>
      <c r="F48">
        <v>184</v>
      </c>
      <c r="G48">
        <v>8</v>
      </c>
      <c r="H48">
        <f t="shared" si="2"/>
        <v>176</v>
      </c>
    </row>
    <row r="49" spans="3:8" x14ac:dyDescent="0.25">
      <c r="C49" s="203" t="s">
        <v>331</v>
      </c>
      <c r="E49" s="28" t="s">
        <v>378</v>
      </c>
      <c r="F49">
        <v>168</v>
      </c>
      <c r="G49">
        <v>8</v>
      </c>
      <c r="H49">
        <f t="shared" si="2"/>
        <v>160</v>
      </c>
    </row>
    <row r="50" spans="3:8" x14ac:dyDescent="0.25">
      <c r="C50" s="203" t="s">
        <v>332</v>
      </c>
      <c r="E50" s="28" t="s">
        <v>379</v>
      </c>
      <c r="F50">
        <v>176</v>
      </c>
      <c r="G50">
        <v>8</v>
      </c>
      <c r="H50">
        <f t="shared" si="2"/>
        <v>168</v>
      </c>
    </row>
    <row r="51" spans="3:8" x14ac:dyDescent="0.25">
      <c r="C51" s="203" t="s">
        <v>333</v>
      </c>
      <c r="E51" s="28" t="s">
        <v>380</v>
      </c>
      <c r="F51">
        <v>176</v>
      </c>
      <c r="G51">
        <v>0</v>
      </c>
      <c r="H51">
        <f t="shared" si="2"/>
        <v>176</v>
      </c>
    </row>
    <row r="52" spans="3:8" x14ac:dyDescent="0.25">
      <c r="C52" s="203" t="s">
        <v>334</v>
      </c>
      <c r="E52" s="28" t="s">
        <v>381</v>
      </c>
      <c r="F52">
        <v>168</v>
      </c>
      <c r="G52">
        <v>8</v>
      </c>
      <c r="H52">
        <f t="shared" si="2"/>
        <v>160</v>
      </c>
    </row>
    <row r="53" spans="3:8" x14ac:dyDescent="0.25">
      <c r="C53" s="203" t="s">
        <v>335</v>
      </c>
      <c r="E53" s="28" t="s">
        <v>382</v>
      </c>
      <c r="F53">
        <v>160</v>
      </c>
      <c r="G53">
        <v>8</v>
      </c>
      <c r="H53">
        <f t="shared" si="2"/>
        <v>152</v>
      </c>
    </row>
    <row r="54" spans="3:8" x14ac:dyDescent="0.25">
      <c r="C54" s="203" t="s">
        <v>336</v>
      </c>
      <c r="E54" s="28" t="s">
        <v>383</v>
      </c>
      <c r="F54">
        <v>184</v>
      </c>
      <c r="G54">
        <v>16</v>
      </c>
      <c r="H54">
        <f t="shared" si="2"/>
        <v>168</v>
      </c>
    </row>
    <row r="55" spans="3:8" x14ac:dyDescent="0.25">
      <c r="C55" s="203" t="s">
        <v>337</v>
      </c>
      <c r="E55" s="28" t="s">
        <v>384</v>
      </c>
      <c r="F55">
        <v>176</v>
      </c>
      <c r="G55">
        <v>24</v>
      </c>
      <c r="H55">
        <f t="shared" si="2"/>
        <v>152</v>
      </c>
    </row>
    <row r="56" spans="3:8" x14ac:dyDescent="0.25">
      <c r="C56" s="203" t="s">
        <v>338</v>
      </c>
      <c r="E56" s="28" t="s">
        <v>385</v>
      </c>
      <c r="F56">
        <v>168</v>
      </c>
      <c r="G56">
        <v>24</v>
      </c>
      <c r="H56">
        <f t="shared" si="2"/>
        <v>144</v>
      </c>
    </row>
    <row r="57" spans="3:8" x14ac:dyDescent="0.25">
      <c r="C57" s="203" t="s">
        <v>339</v>
      </c>
      <c r="E57" s="28" t="s">
        <v>386</v>
      </c>
      <c r="F57">
        <v>184</v>
      </c>
      <c r="G57">
        <v>0</v>
      </c>
      <c r="H57">
        <f t="shared" si="2"/>
        <v>184</v>
      </c>
    </row>
    <row r="58" spans="3:8" x14ac:dyDescent="0.25">
      <c r="C58" s="203" t="s">
        <v>340</v>
      </c>
      <c r="E58" s="28" t="s">
        <v>387</v>
      </c>
      <c r="F58">
        <v>168</v>
      </c>
      <c r="G58">
        <v>8</v>
      </c>
      <c r="H58">
        <f t="shared" si="2"/>
        <v>160</v>
      </c>
    </row>
    <row r="59" spans="3:8" x14ac:dyDescent="0.25">
      <c r="C59" s="203" t="s">
        <v>341</v>
      </c>
      <c r="E59" s="28" t="s">
        <v>388</v>
      </c>
      <c r="F59">
        <v>176</v>
      </c>
      <c r="G59">
        <v>0</v>
      </c>
      <c r="H59">
        <f t="shared" si="2"/>
        <v>176</v>
      </c>
    </row>
    <row r="60" spans="3:8" x14ac:dyDescent="0.25">
      <c r="C60" s="203" t="s">
        <v>342</v>
      </c>
      <c r="E60" s="28" t="s">
        <v>389</v>
      </c>
      <c r="F60">
        <v>184</v>
      </c>
      <c r="G60">
        <v>8</v>
      </c>
      <c r="H60">
        <f t="shared" si="2"/>
        <v>176</v>
      </c>
    </row>
    <row r="61" spans="3:8" x14ac:dyDescent="0.25">
      <c r="C61" s="203" t="s">
        <v>343</v>
      </c>
      <c r="E61" s="28" t="s">
        <v>390</v>
      </c>
      <c r="F61">
        <v>160</v>
      </c>
      <c r="G61">
        <v>8</v>
      </c>
      <c r="H61">
        <f t="shared" si="2"/>
        <v>152</v>
      </c>
    </row>
    <row r="62" spans="3:8" x14ac:dyDescent="0.25">
      <c r="C62" s="203" t="s">
        <v>344</v>
      </c>
      <c r="E62" s="28" t="s">
        <v>391</v>
      </c>
      <c r="F62">
        <v>184</v>
      </c>
      <c r="G62">
        <v>8</v>
      </c>
      <c r="H62">
        <f t="shared" si="2"/>
        <v>176</v>
      </c>
    </row>
    <row r="63" spans="3:8" x14ac:dyDescent="0.25">
      <c r="C63" s="203" t="s">
        <v>345</v>
      </c>
      <c r="E63" s="28" t="s">
        <v>392</v>
      </c>
      <c r="F63">
        <v>176</v>
      </c>
      <c r="G63">
        <v>0</v>
      </c>
      <c r="H63">
        <f t="shared" si="2"/>
        <v>176</v>
      </c>
    </row>
    <row r="64" spans="3:8" x14ac:dyDescent="0.25">
      <c r="C64" s="203" t="s">
        <v>346</v>
      </c>
      <c r="E64" s="28" t="s">
        <v>393</v>
      </c>
      <c r="F64">
        <v>168</v>
      </c>
      <c r="G64">
        <v>8</v>
      </c>
      <c r="H64">
        <f t="shared" si="2"/>
        <v>160</v>
      </c>
    </row>
    <row r="65" spans="3:8" x14ac:dyDescent="0.25">
      <c r="C65" s="203" t="s">
        <v>347</v>
      </c>
      <c r="E65" s="28" t="s">
        <v>394</v>
      </c>
      <c r="F65">
        <v>168</v>
      </c>
      <c r="G65">
        <v>8</v>
      </c>
      <c r="H65">
        <f t="shared" si="2"/>
        <v>160</v>
      </c>
    </row>
    <row r="66" spans="3:8" x14ac:dyDescent="0.25">
      <c r="C66" s="203" t="s">
        <v>348</v>
      </c>
      <c r="E66" s="28" t="s">
        <v>395</v>
      </c>
      <c r="F66">
        <v>184</v>
      </c>
      <c r="G66">
        <v>16</v>
      </c>
      <c r="H66">
        <f t="shared" si="2"/>
        <v>168</v>
      </c>
    </row>
    <row r="67" spans="3:8" x14ac:dyDescent="0.25">
      <c r="C67" s="203" t="s">
        <v>349</v>
      </c>
    </row>
    <row r="68" spans="3:8" x14ac:dyDescent="0.25">
      <c r="C68" s="203" t="s">
        <v>350</v>
      </c>
    </row>
    <row r="69" spans="3:8" x14ac:dyDescent="0.25">
      <c r="C69" s="203" t="s">
        <v>351</v>
      </c>
    </row>
    <row r="70" spans="3:8" x14ac:dyDescent="0.25">
      <c r="C70" s="203" t="s">
        <v>352</v>
      </c>
    </row>
    <row r="71" spans="3:8" x14ac:dyDescent="0.25">
      <c r="C71" s="203" t="s">
        <v>353</v>
      </c>
    </row>
    <row r="72" spans="3:8" x14ac:dyDescent="0.25">
      <c r="C72" s="203" t="s">
        <v>354</v>
      </c>
    </row>
    <row r="73" spans="3:8" x14ac:dyDescent="0.25">
      <c r="C73" s="203" t="s">
        <v>355</v>
      </c>
    </row>
    <row r="74" spans="3:8" x14ac:dyDescent="0.25">
      <c r="C74" s="203" t="s">
        <v>356</v>
      </c>
    </row>
    <row r="75" spans="3:8" x14ac:dyDescent="0.25">
      <c r="C75" s="203" t="s">
        <v>357</v>
      </c>
    </row>
    <row r="76" spans="3:8" x14ac:dyDescent="0.25">
      <c r="C76" s="203" t="s">
        <v>358</v>
      </c>
    </row>
    <row r="77" spans="3:8" x14ac:dyDescent="0.25">
      <c r="C77" s="203" t="s">
        <v>359</v>
      </c>
    </row>
    <row r="78" spans="3:8" x14ac:dyDescent="0.25">
      <c r="C78" s="203" t="s">
        <v>360</v>
      </c>
    </row>
    <row r="79" spans="3:8" x14ac:dyDescent="0.25">
      <c r="C79" s="203" t="s">
        <v>361</v>
      </c>
    </row>
    <row r="80" spans="3:8" x14ac:dyDescent="0.25">
      <c r="C80" s="203" t="s">
        <v>362</v>
      </c>
    </row>
    <row r="81" spans="3:3" x14ac:dyDescent="0.25">
      <c r="C81" s="203" t="s">
        <v>363</v>
      </c>
    </row>
    <row r="82" spans="3:3" x14ac:dyDescent="0.25">
      <c r="C82" s="203" t="s">
        <v>364</v>
      </c>
    </row>
    <row r="83" spans="3:3" x14ac:dyDescent="0.25">
      <c r="C83" s="203" t="s">
        <v>365</v>
      </c>
    </row>
    <row r="84" spans="3:3" x14ac:dyDescent="0.25">
      <c r="C84" s="203" t="s">
        <v>366</v>
      </c>
    </row>
    <row r="85" spans="3:3" x14ac:dyDescent="0.25">
      <c r="C85" s="203" t="s">
        <v>367</v>
      </c>
    </row>
    <row r="86" spans="3:3" x14ac:dyDescent="0.25">
      <c r="C86" s="203" t="s">
        <v>368</v>
      </c>
    </row>
    <row r="87" spans="3:3" x14ac:dyDescent="0.25">
      <c r="C87" s="203" t="s">
        <v>369</v>
      </c>
    </row>
    <row r="88" spans="3:3" x14ac:dyDescent="0.25">
      <c r="C88" s="204" t="s">
        <v>370</v>
      </c>
    </row>
  </sheetData>
  <sheetProtection algorithmName="SHA-512" hashValue="Ruu+FKSGC3ULg8wuFgHpaW9CIxWKzqWecww/vAf+Rh0zNNC64U2Ota4GeZ6SRHHKMKTLqYkmYpKJpEoxUErWUQ==" saltValue="G286r39ToyPxu37jRUiBow==" spinCount="100000" sheet="1" objects="1" scenarios="1"/>
  <hyperlinks>
    <hyperlink ref="K13" r:id="rId1" xr:uid="{00000000-0004-0000-0700-000000000000}"/>
    <hyperlink ref="K25" r:id="rId2" xr:uid="{00000000-0004-0000-0700-000001000000}"/>
  </hyperlinks>
  <pageMargins left="0.7" right="0.7" top="0.75" bottom="0.75" header="0.3" footer="0.3"/>
  <pageSetup orientation="portrait" horizontalDpi="4294967293" verticalDpi="12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A2F9A151216540BB2A297FAE8C8FFE" ma:contentTypeVersion="16" ma:contentTypeDescription="Create a new document." ma:contentTypeScope="" ma:versionID="3cd1c9cf4ab4f08337161c72467851cf">
  <xsd:schema xmlns:xsd="http://www.w3.org/2001/XMLSchema" xmlns:xs="http://www.w3.org/2001/XMLSchema" xmlns:p="http://schemas.microsoft.com/office/2006/metadata/properties" xmlns:ns2="6e2a14ee-5b1b-4115-95ff-4e1cc219c5ef" xmlns:ns3="874e2b3a-f827-4660-8625-89350f30ed00" targetNamespace="http://schemas.microsoft.com/office/2006/metadata/properties" ma:root="true" ma:fieldsID="7768f5dc7278c34507b9b154d1338fbb" ns2:_="" ns3:_="">
    <xsd:import namespace="6e2a14ee-5b1b-4115-95ff-4e1cc219c5ef"/>
    <xsd:import namespace="874e2b3a-f827-4660-8625-89350f30ed0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2a14ee-5b1b-4115-95ff-4e1cc219c5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74e2b3a-f827-4660-8625-89350f30ed0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757ED49-F5D3-4C44-BCCC-6FE5FC483A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2a14ee-5b1b-4115-95ff-4e1cc219c5ef"/>
    <ds:schemaRef ds:uri="874e2b3a-f827-4660-8625-89350f30ed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3F8480-CA85-4070-A4D8-EBD00CDD1E57}">
  <ds:schemaRefs>
    <ds:schemaRef ds:uri="http://schemas.microsoft.com/sharepoint/v3/contenttype/forms"/>
  </ds:schemaRefs>
</ds:datastoreItem>
</file>

<file path=customXml/itemProps3.xml><?xml version="1.0" encoding="utf-8"?>
<ds:datastoreItem xmlns:ds="http://schemas.openxmlformats.org/officeDocument/2006/customXml" ds:itemID="{AA5FF2B9-1BC1-4932-9614-8A8CCC5966F6}">
  <ds:schemaRefs>
    <ds:schemaRef ds:uri="6e2a14ee-5b1b-4115-95ff-4e1cc219c5ef"/>
    <ds:schemaRef ds:uri="http://schemas.microsoft.com/office/2006/documentManagement/types"/>
    <ds:schemaRef ds:uri="http://purl.org/dc/dcmitype/"/>
    <ds:schemaRef ds:uri="http://schemas.openxmlformats.org/package/2006/metadata/core-properties"/>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874e2b3a-f827-4660-8625-89350f30ed0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Directions</vt:lpstr>
      <vt:lpstr>Summer Salary CNAS</vt:lpstr>
      <vt:lpstr>Summer Salary CHASS</vt:lpstr>
      <vt:lpstr>NSTP Summer Salary</vt:lpstr>
      <vt:lpstr>Additional Comp</vt:lpstr>
      <vt:lpstr>Approval email</vt:lpstr>
      <vt:lpstr>FAQ's</vt:lpstr>
      <vt:lpstr>Lookup</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Cherie</dc:creator>
  <cp:lastModifiedBy>Guille Vallejo</cp:lastModifiedBy>
  <cp:lastPrinted>2024-02-20T22:46:36Z</cp:lastPrinted>
  <dcterms:created xsi:type="dcterms:W3CDTF">2023-01-31T21:54:23Z</dcterms:created>
  <dcterms:modified xsi:type="dcterms:W3CDTF">2024-05-14T01:39:07Z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0x010100A2A2F9A151216540BB2A297FAE8C8FFE</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