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E:\EXT\BZ\"/>
    </mc:Choice>
  </mc:AlternateContent>
  <xr:revisionPtr revIDLastSave="0" documentId="8_{E3EF64D1-95C2-42FC-8C5B-8CA2754C1231}" xr6:coauthVersionLast="47" xr6:coauthVersionMax="47" xr10:uidLastSave="{00000000-0000-0000-0000-000000000000}"/>
  <bookViews>
    <workbookView xWindow="-15" yWindow="-735" windowWidth="28830" windowHeight="15885" tabRatio="811" xr2:uid="{00000000-000D-0000-FFFF-FFFF00000000}"/>
  </bookViews>
  <sheets>
    <sheet name="Directions" sheetId="7" r:id="rId1"/>
    <sheet name="Summer Salary CNAS JUNE" sheetId="9" r:id="rId2"/>
    <sheet name="Summer Salary CNAS JUL-SEP" sheetId="1" r:id="rId3"/>
    <sheet name="Summer Salary CHASS" sheetId="8" r:id="rId4"/>
    <sheet name="NSP Summer Salary" sheetId="3" r:id="rId5"/>
    <sheet name="Additional Comp" sheetId="4" r:id="rId6"/>
    <sheet name="Approval email" sheetId="6" r:id="rId7"/>
    <sheet name="FAQ's" sheetId="5" r:id="rId8"/>
    <sheet name="Lookup" sheetId="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 r="F13" i="9"/>
  <c r="K13" i="9"/>
  <c r="D12" i="1"/>
  <c r="K12" i="1"/>
  <c r="B65" i="9"/>
  <c r="D66" i="4"/>
  <c r="A82" i="3"/>
  <c r="B73" i="8"/>
  <c r="B73" i="1"/>
  <c r="B21" i="8"/>
  <c r="B21" i="1"/>
  <c r="M24" i="2"/>
  <c r="N24" i="2"/>
  <c r="M25" i="2"/>
  <c r="N25" i="2"/>
  <c r="M26" i="2"/>
  <c r="N26" i="2"/>
  <c r="M27" i="2"/>
  <c r="N27" i="2" s="1"/>
  <c r="M28" i="2"/>
  <c r="N28" i="2"/>
  <c r="M29" i="2"/>
  <c r="N29" i="2"/>
  <c r="M30" i="2"/>
  <c r="N30" i="2" s="1"/>
  <c r="M31" i="2"/>
  <c r="N31" i="2"/>
  <c r="M32" i="2"/>
  <c r="N32" i="2"/>
  <c r="M33" i="2"/>
  <c r="N33" i="2"/>
  <c r="M2" i="2"/>
  <c r="N2" i="2" s="1"/>
  <c r="O34" i="8"/>
  <c r="O35" i="8"/>
  <c r="O36" i="8"/>
  <c r="O37" i="8"/>
  <c r="O33" i="8"/>
  <c r="O32" i="8"/>
  <c r="O31" i="8"/>
  <c r="O30" i="8"/>
  <c r="O29" i="8"/>
  <c r="O28" i="8"/>
  <c r="O30" i="1"/>
  <c r="O31" i="1"/>
  <c r="O32" i="1"/>
  <c r="O33" i="1"/>
  <c r="O34" i="1"/>
  <c r="O35" i="1"/>
  <c r="O36" i="1"/>
  <c r="O37" i="1"/>
  <c r="O29" i="1"/>
  <c r="O28" i="1"/>
  <c r="O27" i="9"/>
  <c r="O28" i="9"/>
  <c r="O29" i="9"/>
  <c r="O26" i="9"/>
  <c r="I31" i="4"/>
  <c r="I32" i="4"/>
  <c r="I33" i="4"/>
  <c r="I30" i="4"/>
  <c r="H72" i="2"/>
  <c r="H71" i="2"/>
  <c r="H70" i="2"/>
  <c r="H69" i="2"/>
  <c r="H68" i="2"/>
  <c r="H67" i="2"/>
  <c r="H66" i="2"/>
  <c r="H65" i="2"/>
  <c r="H64" i="2"/>
  <c r="H63" i="2"/>
  <c r="H62" i="2"/>
  <c r="H61" i="2"/>
  <c r="F27" i="9"/>
  <c r="F28" i="9"/>
  <c r="F29" i="9"/>
  <c r="F26" i="9"/>
  <c r="F25" i="9"/>
  <c r="L14" i="3" l="1"/>
  <c r="H14" i="3"/>
  <c r="F14" i="3"/>
  <c r="D14" i="3"/>
  <c r="K12" i="8"/>
  <c r="H12" i="8"/>
  <c r="F12" i="8"/>
  <c r="D12" i="8"/>
  <c r="I23" i="8"/>
  <c r="H12" i="1"/>
  <c r="F12" i="1"/>
  <c r="H13" i="9"/>
  <c r="C90" i="1" l="1"/>
  <c r="C86" i="1"/>
  <c r="D79" i="1"/>
  <c r="D59" i="1"/>
  <c r="K65" i="1" s="1"/>
  <c r="D51" i="9"/>
  <c r="K57" i="9" s="1"/>
  <c r="E73" i="9"/>
  <c r="E74" i="9"/>
  <c r="E72" i="9"/>
  <c r="D73" i="9"/>
  <c r="D72" i="9"/>
  <c r="E66" i="9"/>
  <c r="E67" i="9"/>
  <c r="E65" i="9"/>
  <c r="D66" i="9"/>
  <c r="D67" i="9"/>
  <c r="D65" i="9"/>
  <c r="C82" i="9"/>
  <c r="C80" i="9"/>
  <c r="C81" i="9"/>
  <c r="C79" i="9"/>
  <c r="D22" i="9"/>
  <c r="F25" i="1"/>
  <c r="H21" i="9"/>
  <c r="F25" i="8" l="1"/>
  <c r="M87" i="3"/>
  <c r="K36" i="9"/>
  <c r="C83" i="9" s="1"/>
  <c r="I23" i="1"/>
  <c r="H20" i="1"/>
  <c r="I22" i="9"/>
  <c r="L96" i="9"/>
  <c r="D96" i="9"/>
  <c r="B96" i="9"/>
  <c r="D82" i="9"/>
  <c r="E81" i="9"/>
  <c r="E80" i="9"/>
  <c r="D79" i="9"/>
  <c r="C78" i="9"/>
  <c r="E78" i="9" s="1"/>
  <c r="E71" i="9"/>
  <c r="D71" i="9"/>
  <c r="E64" i="9"/>
  <c r="C30" i="9"/>
  <c r="F19" i="9"/>
  <c r="H25" i="9" s="1"/>
  <c r="F8" i="9"/>
  <c r="L16" i="2" l="1"/>
  <c r="H27" i="9"/>
  <c r="I27" i="9" s="1"/>
  <c r="H28" i="9"/>
  <c r="I28" i="9" s="1"/>
  <c r="H29" i="9"/>
  <c r="H26" i="9"/>
  <c r="I26" i="9" s="1"/>
  <c r="E79" i="9"/>
  <c r="D80" i="9"/>
  <c r="D83" i="9"/>
  <c r="D78" i="9"/>
  <c r="D81" i="9"/>
  <c r="I29" i="9"/>
  <c r="M4" i="2"/>
  <c r="N4" i="2" s="1"/>
  <c r="J27" i="9" l="1"/>
  <c r="K27" i="9" s="1"/>
  <c r="L27" i="9"/>
  <c r="M27" i="9" s="1"/>
  <c r="J29" i="9"/>
  <c r="K29" i="9" s="1"/>
  <c r="L29" i="9"/>
  <c r="M29" i="9" s="1"/>
  <c r="J26" i="9"/>
  <c r="K26" i="9" s="1"/>
  <c r="L26" i="9"/>
  <c r="M26" i="9" s="1"/>
  <c r="J28" i="9"/>
  <c r="K28" i="9" s="1"/>
  <c r="L28" i="9"/>
  <c r="M28" i="9" s="1"/>
  <c r="H30" i="9"/>
  <c r="F20" i="3"/>
  <c r="C38" i="8" l="1"/>
  <c r="F37" i="8"/>
  <c r="F36" i="8"/>
  <c r="F35" i="8"/>
  <c r="F34" i="8"/>
  <c r="F33" i="8"/>
  <c r="F32" i="8"/>
  <c r="F31" i="8"/>
  <c r="F30" i="8"/>
  <c r="F29" i="8"/>
  <c r="F28" i="8"/>
  <c r="M55" i="4" l="1"/>
  <c r="N55" i="4"/>
  <c r="M56" i="4"/>
  <c r="N56" i="4"/>
  <c r="L57" i="4" l="1"/>
  <c r="L56" i="4"/>
  <c r="L55" i="4"/>
  <c r="L54" i="4"/>
  <c r="J31" i="4"/>
  <c r="F29" i="1"/>
  <c r="F30" i="1"/>
  <c r="F31" i="1"/>
  <c r="F32" i="1"/>
  <c r="F33" i="1"/>
  <c r="F34" i="1"/>
  <c r="F35" i="1"/>
  <c r="F36" i="1"/>
  <c r="F37" i="1"/>
  <c r="J32" i="4" l="1"/>
  <c r="J33" i="4"/>
  <c r="L31" i="4" l="1"/>
  <c r="L32" i="4"/>
  <c r="L33" i="4"/>
  <c r="L30" i="4"/>
  <c r="L27" i="4" s="1"/>
  <c r="G40" i="3"/>
  <c r="G41" i="3"/>
  <c r="G43" i="3"/>
  <c r="G44" i="3"/>
  <c r="G46" i="3"/>
  <c r="G47" i="3"/>
  <c r="G38" i="3"/>
  <c r="N57" i="4" l="1"/>
  <c r="M57" i="4"/>
  <c r="L34" i="4"/>
  <c r="C48" i="3"/>
  <c r="C38" i="1"/>
  <c r="C89" i="1" l="1"/>
  <c r="E89" i="1" s="1"/>
  <c r="D89" i="1" l="1"/>
  <c r="B98" i="4"/>
  <c r="B114" i="3" l="1"/>
  <c r="B104" i="1"/>
  <c r="D110" i="8"/>
  <c r="B110" i="8" l="1"/>
  <c r="L110" i="8"/>
  <c r="C90" i="8"/>
  <c r="D90" i="8" s="1"/>
  <c r="C89" i="8"/>
  <c r="E89" i="8" s="1"/>
  <c r="C88" i="8"/>
  <c r="D88" i="8" s="1"/>
  <c r="C87" i="8"/>
  <c r="D87" i="8" s="1"/>
  <c r="C86" i="8"/>
  <c r="D86" i="8" s="1"/>
  <c r="E82" i="8"/>
  <c r="D82" i="8"/>
  <c r="E81" i="8"/>
  <c r="D81" i="8"/>
  <c r="E80" i="8"/>
  <c r="D80" i="8"/>
  <c r="E79" i="8"/>
  <c r="D79" i="8"/>
  <c r="E75" i="8"/>
  <c r="D75" i="8"/>
  <c r="E74" i="8"/>
  <c r="D74" i="8"/>
  <c r="E73" i="8"/>
  <c r="D73" i="8"/>
  <c r="E72" i="8"/>
  <c r="D72" i="8"/>
  <c r="G59" i="8"/>
  <c r="G65" i="8" s="1"/>
  <c r="D59" i="8"/>
  <c r="K65" i="8" s="1"/>
  <c r="G23" i="8"/>
  <c r="F18" i="8"/>
  <c r="F7" i="8"/>
  <c r="L20" i="2" l="1"/>
  <c r="K44" i="8"/>
  <c r="G67" i="8"/>
  <c r="C91" i="8"/>
  <c r="D91" i="8" s="1"/>
  <c r="H35" i="8"/>
  <c r="I35" i="8" s="1"/>
  <c r="H33" i="8"/>
  <c r="I33" i="8" s="1"/>
  <c r="H32" i="8"/>
  <c r="I32" i="8" s="1"/>
  <c r="H37" i="8"/>
  <c r="I37" i="8" s="1"/>
  <c r="H29" i="8"/>
  <c r="I29" i="8" s="1"/>
  <c r="H34" i="8"/>
  <c r="I34" i="8" s="1"/>
  <c r="H31" i="8"/>
  <c r="I31" i="8" s="1"/>
  <c r="H28" i="8"/>
  <c r="I28" i="8" s="1"/>
  <c r="H36" i="8"/>
  <c r="I36" i="8" s="1"/>
  <c r="H30" i="8"/>
  <c r="I30" i="8" s="1"/>
  <c r="E88" i="8"/>
  <c r="E86" i="8"/>
  <c r="D89" i="8"/>
  <c r="E87" i="8"/>
  <c r="M23" i="2"/>
  <c r="M3" i="2"/>
  <c r="B101" i="3" l="1"/>
  <c r="B72" i="9"/>
  <c r="L28" i="8"/>
  <c r="M28" i="8" s="1"/>
  <c r="J28" i="8"/>
  <c r="K28" i="8" s="1"/>
  <c r="L31" i="8"/>
  <c r="M31" i="8" s="1"/>
  <c r="J31" i="8"/>
  <c r="K31" i="8" s="1"/>
  <c r="L34" i="8"/>
  <c r="M34" i="8" s="1"/>
  <c r="J34" i="8"/>
  <c r="K34" i="8" s="1"/>
  <c r="L29" i="8"/>
  <c r="M29" i="8" s="1"/>
  <c r="J29" i="8"/>
  <c r="K29" i="8" s="1"/>
  <c r="L37" i="8"/>
  <c r="M37" i="8" s="1"/>
  <c r="J37" i="8"/>
  <c r="K37" i="8" s="1"/>
  <c r="L32" i="8"/>
  <c r="M32" i="8" s="1"/>
  <c r="J32" i="8"/>
  <c r="K32" i="8" s="1"/>
  <c r="L33" i="8"/>
  <c r="M33" i="8" s="1"/>
  <c r="J33" i="8"/>
  <c r="K33" i="8" s="1"/>
  <c r="L30" i="8"/>
  <c r="M30" i="8" s="1"/>
  <c r="J30" i="8"/>
  <c r="K30" i="8" s="1"/>
  <c r="L35" i="8"/>
  <c r="M35" i="8" s="1"/>
  <c r="J35" i="8"/>
  <c r="K35" i="8" s="1"/>
  <c r="J36" i="8"/>
  <c r="K36" i="8" s="1"/>
  <c r="L36" i="8"/>
  <c r="M36" i="8" s="1"/>
  <c r="H38" i="8"/>
  <c r="D82" i="4"/>
  <c r="B80" i="1"/>
  <c r="N3" i="2"/>
  <c r="N23" i="2"/>
  <c r="B80" i="8"/>
  <c r="J30" i="4"/>
  <c r="H27" i="4" s="1"/>
  <c r="F65" i="9" l="1"/>
  <c r="G65" i="9" s="1"/>
  <c r="F64" i="9"/>
  <c r="F66" i="9"/>
  <c r="G66" i="9" s="1"/>
  <c r="F67" i="9"/>
  <c r="G67" i="9" s="1"/>
  <c r="F73" i="9"/>
  <c r="G73" i="9" s="1"/>
  <c r="F72" i="9"/>
  <c r="G72" i="9" s="1"/>
  <c r="F74" i="9"/>
  <c r="F71" i="9"/>
  <c r="G71" i="9" s="1"/>
  <c r="F82" i="8"/>
  <c r="G82" i="8" s="1"/>
  <c r="F79" i="8"/>
  <c r="G79" i="8" s="1"/>
  <c r="F81" i="8"/>
  <c r="G81" i="8" s="1"/>
  <c r="F80" i="8"/>
  <c r="G80" i="8" s="1"/>
  <c r="F75" i="8"/>
  <c r="G75" i="8" s="1"/>
  <c r="F72" i="8"/>
  <c r="G72" i="8" s="1"/>
  <c r="F74" i="8"/>
  <c r="G74" i="8" s="1"/>
  <c r="F73" i="8"/>
  <c r="G73" i="8" s="1"/>
  <c r="K38" i="8" l="1"/>
  <c r="J38" i="8"/>
  <c r="L38" i="8"/>
  <c r="M38" i="8"/>
  <c r="J34" i="4"/>
  <c r="L114" i="3"/>
  <c r="L104" i="1"/>
  <c r="L98" i="4" l="1"/>
  <c r="C90" i="3" l="1"/>
  <c r="C93" i="3"/>
  <c r="C92" i="3"/>
  <c r="C91" i="3"/>
  <c r="C88" i="1"/>
  <c r="D88" i="1" s="1"/>
  <c r="C87" i="1"/>
  <c r="H49" i="2" l="1"/>
  <c r="H50" i="2"/>
  <c r="H51" i="2"/>
  <c r="H52" i="2"/>
  <c r="H53" i="2"/>
  <c r="H54" i="2"/>
  <c r="H55" i="2"/>
  <c r="H56" i="2"/>
  <c r="H57" i="2"/>
  <c r="H58" i="2"/>
  <c r="H59" i="2"/>
  <c r="H60" i="2"/>
  <c r="D8" i="4" l="1"/>
  <c r="D57" i="4" l="1"/>
  <c r="D70" i="4"/>
  <c r="C9" i="3" l="1"/>
  <c r="F7" i="1"/>
  <c r="E101" i="3" l="1"/>
  <c r="E102" i="3"/>
  <c r="E103" i="3"/>
  <c r="E100" i="3"/>
  <c r="D101" i="3"/>
  <c r="D102" i="3"/>
  <c r="D103" i="3"/>
  <c r="D100" i="3"/>
  <c r="E82" i="1"/>
  <c r="E81" i="1"/>
  <c r="E80" i="1"/>
  <c r="E79" i="1"/>
  <c r="F100" i="3" l="1"/>
  <c r="G100" i="3" s="1"/>
  <c r="F79" i="1"/>
  <c r="G79" i="1" s="1"/>
  <c r="F80" i="1"/>
  <c r="F81" i="1"/>
  <c r="F82" i="1"/>
  <c r="C82" i="3"/>
  <c r="G82" i="3" s="1"/>
  <c r="F102" i="3" l="1"/>
  <c r="G102" i="3" s="1"/>
  <c r="F103" i="3"/>
  <c r="G103" i="3" s="1"/>
  <c r="F101" i="3"/>
  <c r="G101" i="3" s="1"/>
  <c r="J76" i="4"/>
  <c r="E55" i="4"/>
  <c r="E56" i="4"/>
  <c r="E54" i="4"/>
  <c r="F34" i="4"/>
  <c r="E34" i="4" s="1"/>
  <c r="D98" i="4"/>
  <c r="B61" i="4"/>
  <c r="O53" i="4" l="1"/>
  <c r="F55" i="4"/>
  <c r="G55" i="4" s="1"/>
  <c r="E57" i="4"/>
  <c r="H55" i="4" s="1"/>
  <c r="F54" i="4"/>
  <c r="G54" i="4" s="1"/>
  <c r="F56" i="4"/>
  <c r="G56" i="4" s="1"/>
  <c r="G104" i="4"/>
  <c r="H56" i="4" l="1"/>
  <c r="F57" i="4"/>
  <c r="H54" i="4"/>
  <c r="D93" i="3"/>
  <c r="M88" i="3"/>
  <c r="M90" i="3"/>
  <c r="M28" i="3"/>
  <c r="D24" i="3"/>
  <c r="F24" i="3" s="1"/>
  <c r="M22" i="3"/>
  <c r="D34" i="3"/>
  <c r="F34" i="3" s="1"/>
  <c r="D33" i="3"/>
  <c r="F33" i="3" s="1"/>
  <c r="D32" i="3"/>
  <c r="F32" i="3" s="1"/>
  <c r="D26" i="3"/>
  <c r="F26" i="3" s="1"/>
  <c r="D25" i="3"/>
  <c r="F25" i="3" s="1"/>
  <c r="M7" i="3"/>
  <c r="D114" i="3"/>
  <c r="C94" i="3"/>
  <c r="D94" i="3" s="1"/>
  <c r="D85" i="3"/>
  <c r="D84" i="3"/>
  <c r="D83" i="3"/>
  <c r="D82" i="3"/>
  <c r="D69" i="3"/>
  <c r="K75" i="3" s="1"/>
  <c r="G30" i="3"/>
  <c r="K52" i="3" s="1"/>
  <c r="F22" i="3"/>
  <c r="D90" i="1"/>
  <c r="D87" i="1"/>
  <c r="D86" i="1"/>
  <c r="E73" i="1"/>
  <c r="E74" i="1"/>
  <c r="E75" i="1"/>
  <c r="E72" i="1"/>
  <c r="M30" i="3" l="1"/>
  <c r="M84" i="3" s="1"/>
  <c r="C95" i="3"/>
  <c r="D95" i="3" s="1"/>
  <c r="N90" i="3"/>
  <c r="N88" i="3"/>
  <c r="J32" i="3"/>
  <c r="M32" i="3" s="1"/>
  <c r="J24" i="3"/>
  <c r="D90" i="3"/>
  <c r="D91" i="3"/>
  <c r="D92" i="3"/>
  <c r="E86" i="1"/>
  <c r="E88" i="1"/>
  <c r="E87" i="1"/>
  <c r="D104" i="1"/>
  <c r="H30" i="4" l="1"/>
  <c r="M30" i="4" s="1"/>
  <c r="L19" i="2"/>
  <c r="H33" i="4"/>
  <c r="M33" i="4" s="1"/>
  <c r="N33" i="4" s="1"/>
  <c r="H31" i="4"/>
  <c r="M31" i="4" s="1"/>
  <c r="H32" i="4"/>
  <c r="M32" i="4" s="1"/>
  <c r="N32" i="4" s="1"/>
  <c r="J34" i="3"/>
  <c r="J26" i="3"/>
  <c r="M33" i="3"/>
  <c r="M34" i="3" s="1"/>
  <c r="M9" i="2"/>
  <c r="N9" i="2" s="1"/>
  <c r="M10" i="2"/>
  <c r="N10" i="2" s="1"/>
  <c r="M11" i="2"/>
  <c r="N11" i="2" s="1"/>
  <c r="M12" i="2"/>
  <c r="N12" i="2" s="1"/>
  <c r="M6" i="2"/>
  <c r="N6" i="2" s="1"/>
  <c r="M7" i="2"/>
  <c r="N7" i="2" s="1"/>
  <c r="M8" i="2"/>
  <c r="N8" i="2" s="1"/>
  <c r="M5" i="2"/>
  <c r="G23" i="1"/>
  <c r="F18" i="1"/>
  <c r="K44" i="1" l="1"/>
  <c r="C91" i="1" s="1"/>
  <c r="D91" i="1" s="1"/>
  <c r="L17" i="2"/>
  <c r="F28" i="1" s="1"/>
  <c r="L18" i="2"/>
  <c r="H40" i="3"/>
  <c r="H39" i="3"/>
  <c r="H47" i="3"/>
  <c r="H41" i="3"/>
  <c r="G69" i="3" s="1"/>
  <c r="H38" i="3"/>
  <c r="I38" i="3" s="1"/>
  <c r="H46" i="3"/>
  <c r="H42" i="3"/>
  <c r="H43" i="3"/>
  <c r="H44" i="3"/>
  <c r="H45" i="3"/>
  <c r="K31" i="4"/>
  <c r="K33" i="4"/>
  <c r="K32" i="4"/>
  <c r="K30" i="4"/>
  <c r="M81" i="3"/>
  <c r="M35" i="3"/>
  <c r="N5" i="2"/>
  <c r="G70" i="4"/>
  <c r="G76" i="4" s="1"/>
  <c r="H78" i="4" s="1"/>
  <c r="H34" i="4"/>
  <c r="H28" i="1"/>
  <c r="H34" i="1"/>
  <c r="H33" i="1"/>
  <c r="H31" i="1"/>
  <c r="H32" i="1"/>
  <c r="H30" i="1"/>
  <c r="H29" i="1"/>
  <c r="H37" i="1"/>
  <c r="H36" i="1"/>
  <c r="H35" i="1"/>
  <c r="G51" i="9" l="1"/>
  <c r="G57" i="9" s="1"/>
  <c r="G59" i="9" s="1"/>
  <c r="G59" i="1"/>
  <c r="G65" i="1" s="1"/>
  <c r="G67" i="1" s="1"/>
  <c r="G45" i="3"/>
  <c r="I45" i="3" s="1"/>
  <c r="L45" i="3" s="1"/>
  <c r="M45" i="3" s="1"/>
  <c r="G39" i="3"/>
  <c r="I39" i="3" s="1"/>
  <c r="L39" i="3" s="1"/>
  <c r="M39" i="3" s="1"/>
  <c r="G42" i="3"/>
  <c r="I42" i="3" s="1"/>
  <c r="L42" i="3" s="1"/>
  <c r="M42" i="3" s="1"/>
  <c r="I41" i="3"/>
  <c r="L41" i="3" s="1"/>
  <c r="M41" i="3" s="1"/>
  <c r="I47" i="3"/>
  <c r="L47" i="3" s="1"/>
  <c r="M47" i="3" s="1"/>
  <c r="I44" i="3"/>
  <c r="L44" i="3" s="1"/>
  <c r="M44" i="3" s="1"/>
  <c r="I40" i="3"/>
  <c r="L40" i="3" s="1"/>
  <c r="M40" i="3" s="1"/>
  <c r="I46" i="3"/>
  <c r="L46" i="3" s="1"/>
  <c r="M46" i="3" s="1"/>
  <c r="I43" i="3"/>
  <c r="L43" i="3" s="1"/>
  <c r="M43" i="3" s="1"/>
  <c r="I25" i="9"/>
  <c r="L38" i="3"/>
  <c r="M38" i="3" s="1"/>
  <c r="H48" i="3"/>
  <c r="I34" i="4"/>
  <c r="I32" i="1"/>
  <c r="J32" i="1" s="1"/>
  <c r="K32" i="1" s="1"/>
  <c r="I33" i="1"/>
  <c r="J33" i="1" s="1"/>
  <c r="K33" i="1" s="1"/>
  <c r="I34" i="1"/>
  <c r="J34" i="1" s="1"/>
  <c r="K34" i="1" s="1"/>
  <c r="I35" i="1"/>
  <c r="J35" i="1" s="1"/>
  <c r="K35" i="1" s="1"/>
  <c r="I36" i="1"/>
  <c r="J36" i="1" s="1"/>
  <c r="K36" i="1" s="1"/>
  <c r="I37" i="1"/>
  <c r="J37" i="1" s="1"/>
  <c r="K37" i="1" s="1"/>
  <c r="I28" i="1"/>
  <c r="H38" i="1"/>
  <c r="O33" i="4"/>
  <c r="O31" i="4"/>
  <c r="N31" i="4" s="1"/>
  <c r="O32" i="4"/>
  <c r="O30" i="4"/>
  <c r="N30" i="4" s="1"/>
  <c r="E82" i="3"/>
  <c r="H82" i="3" s="1"/>
  <c r="E84" i="3"/>
  <c r="I31" i="1"/>
  <c r="J31" i="1" s="1"/>
  <c r="K31" i="1" s="1"/>
  <c r="E83" i="3"/>
  <c r="E85" i="3"/>
  <c r="F74" i="1"/>
  <c r="F73" i="1"/>
  <c r="F75" i="1"/>
  <c r="F72" i="1"/>
  <c r="I30" i="1"/>
  <c r="J30" i="1" s="1"/>
  <c r="K30" i="1" s="1"/>
  <c r="I29" i="1"/>
  <c r="J29" i="1" s="1"/>
  <c r="K29" i="1" s="1"/>
  <c r="M48" i="3" l="1"/>
  <c r="G75" i="3"/>
  <c r="G77" i="3" s="1"/>
  <c r="J38" i="3"/>
  <c r="K38" i="3" s="1"/>
  <c r="J45" i="3"/>
  <c r="K45" i="3" s="1"/>
  <c r="J42" i="3"/>
  <c r="K42" i="3" s="1"/>
  <c r="J39" i="3"/>
  <c r="K39" i="3" s="1"/>
  <c r="J46" i="3"/>
  <c r="K46" i="3" s="1"/>
  <c r="J40" i="3"/>
  <c r="K40" i="3" s="1"/>
  <c r="J47" i="3"/>
  <c r="K47" i="3" s="1"/>
  <c r="J43" i="3"/>
  <c r="K43" i="3" s="1"/>
  <c r="J44" i="3"/>
  <c r="K44" i="3" s="1"/>
  <c r="J41" i="3"/>
  <c r="K41" i="3" s="1"/>
  <c r="D74" i="9"/>
  <c r="G74" i="9" s="1"/>
  <c r="J25" i="9"/>
  <c r="O25" i="9" s="1"/>
  <c r="L25" i="9"/>
  <c r="M25" i="9" s="1"/>
  <c r="J28" i="1"/>
  <c r="K28" i="1" s="1"/>
  <c r="L28" i="1"/>
  <c r="M28" i="1" s="1"/>
  <c r="M54" i="4"/>
  <c r="N54" i="4"/>
  <c r="L34" i="1"/>
  <c r="M34" i="1" s="1"/>
  <c r="L37" i="1"/>
  <c r="M37" i="1" s="1"/>
  <c r="L33" i="1"/>
  <c r="M33" i="1" s="1"/>
  <c r="L31" i="1"/>
  <c r="M31" i="1" s="1"/>
  <c r="L36" i="1"/>
  <c r="M36" i="1" s="1"/>
  <c r="L32" i="1"/>
  <c r="M32" i="1" s="1"/>
  <c r="L29" i="1"/>
  <c r="M29" i="1" s="1"/>
  <c r="D73" i="1"/>
  <c r="G73" i="1" s="1"/>
  <c r="L35" i="1"/>
  <c r="M35" i="1" s="1"/>
  <c r="L30" i="1"/>
  <c r="M30" i="1" s="1"/>
  <c r="D75" i="1"/>
  <c r="G75" i="1" s="1"/>
  <c r="N34" i="4"/>
  <c r="L48" i="3"/>
  <c r="D83" i="4"/>
  <c r="E83" i="4" s="1"/>
  <c r="D67" i="4"/>
  <c r="E67" i="4" s="1"/>
  <c r="D82" i="1"/>
  <c r="G82" i="1" s="1"/>
  <c r="M89" i="3"/>
  <c r="N89" i="3" s="1"/>
  <c r="M85" i="3"/>
  <c r="N85" i="3" s="1"/>
  <c r="D80" i="1"/>
  <c r="G80" i="1" s="1"/>
  <c r="D64" i="9" l="1"/>
  <c r="G64" i="9" s="1"/>
  <c r="D72" i="1"/>
  <c r="G72" i="1" s="1"/>
  <c r="K25" i="9"/>
  <c r="K30" i="9" s="1"/>
  <c r="K48" i="3"/>
  <c r="C85" i="3"/>
  <c r="G85" i="3" s="1"/>
  <c r="H85" i="3" s="1"/>
  <c r="J48" i="3"/>
  <c r="M82" i="3" s="1"/>
  <c r="K38" i="1"/>
  <c r="M30" i="9"/>
  <c r="L30" i="9"/>
  <c r="J30" i="9"/>
  <c r="M38" i="1"/>
  <c r="L38" i="1"/>
  <c r="J38" i="1"/>
  <c r="C84" i="3"/>
  <c r="G84" i="3" s="1"/>
  <c r="H84" i="3" s="1"/>
  <c r="D81" i="1"/>
  <c r="G81" i="1" s="1"/>
  <c r="D74" i="1"/>
  <c r="G74" i="1" s="1"/>
  <c r="N87" i="3"/>
  <c r="C83" i="3"/>
  <c r="G83" i="3" s="1"/>
  <c r="H83" i="3" s="1"/>
  <c r="N8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Cherie</author>
  </authors>
  <commentList>
    <comment ref="D8" authorId="0" shapeId="0" xr:uid="{00000000-0006-0000-0100-000001000000}">
      <text>
        <r>
          <rPr>
            <b/>
            <sz val="9"/>
            <color indexed="81"/>
            <rFont val="Tahoma"/>
            <family val="2"/>
          </rPr>
          <t>Cherie:</t>
        </r>
        <r>
          <rPr>
            <sz val="9"/>
            <color indexed="81"/>
            <rFont val="Tahoma"/>
            <family val="2"/>
          </rPr>
          <t xml:space="preserve">
New:  Initial requests for Summer Salary
Revision: Update to a previous request.  This includes changes in salary due to M&amp;P.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Cherie</author>
  </authors>
  <commentList>
    <comment ref="D7" authorId="0" shapeId="0" xr:uid="{00000000-0006-0000-0200-000001000000}">
      <text>
        <r>
          <rPr>
            <b/>
            <sz val="9"/>
            <color indexed="81"/>
            <rFont val="Tahoma"/>
            <family val="2"/>
          </rPr>
          <t>Cherie:</t>
        </r>
        <r>
          <rPr>
            <sz val="9"/>
            <color indexed="81"/>
            <rFont val="Tahoma"/>
            <family val="2"/>
          </rPr>
          <t xml:space="preserve">
New:  Initial requests for Summer Salary
Revision: Update to a previous request.  This includes changes in salary due to M&amp;P.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Cherie</author>
  </authors>
  <commentList>
    <comment ref="D7" authorId="0" shapeId="0" xr:uid="{00000000-0006-0000-0300-000001000000}">
      <text>
        <r>
          <rPr>
            <b/>
            <sz val="9"/>
            <color indexed="81"/>
            <rFont val="Tahoma"/>
            <family val="2"/>
          </rPr>
          <t>Cherie:</t>
        </r>
        <r>
          <rPr>
            <sz val="9"/>
            <color indexed="81"/>
            <rFont val="Tahoma"/>
            <family val="2"/>
          </rPr>
          <t xml:space="preserve">
New:  Initial requests for Summer Salary
Revision: Update to a previous request.  This includes changes in salary due to M&amp;P.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Cherie</author>
  </authors>
  <commentList>
    <comment ref="A9" authorId="0" shapeId="0" xr:uid="{00000000-0006-0000-0400-000001000000}">
      <text>
        <r>
          <rPr>
            <b/>
            <sz val="9"/>
            <color indexed="81"/>
            <rFont val="Tahoma"/>
            <family val="2"/>
          </rPr>
          <t>Cherie:</t>
        </r>
        <r>
          <rPr>
            <sz val="9"/>
            <color indexed="81"/>
            <rFont val="Tahoma"/>
            <family val="2"/>
          </rPr>
          <t xml:space="preserve">
New:  Initial requests for Summer Salary
Revision: Update to a previous request.  This includes changes in salary due to M&amp;P.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Cherie</author>
  </authors>
  <commentList>
    <comment ref="B8" authorId="0" shapeId="0" xr:uid="{00000000-0006-0000-0500-000001000000}">
      <text>
        <r>
          <rPr>
            <b/>
            <sz val="9"/>
            <color indexed="81"/>
            <rFont val="Tahoma"/>
            <family val="2"/>
          </rPr>
          <t>Cherie:</t>
        </r>
        <r>
          <rPr>
            <sz val="9"/>
            <color indexed="81"/>
            <rFont val="Tahoma"/>
            <family val="2"/>
          </rPr>
          <t xml:space="preserve">
New:  Initial requests for Summer Salary
Revision: Update to a previous request.  This includes changes in salary due to M&amp;P.</t>
        </r>
      </text>
    </comment>
  </commentList>
</comments>
</file>

<file path=xl/sharedStrings.xml><?xml version="1.0" encoding="utf-8"?>
<sst xmlns="http://schemas.openxmlformats.org/spreadsheetml/2006/main" count="1112" uniqueCount="515">
  <si>
    <t>HARVEST Shared Services Center</t>
  </si>
  <si>
    <t>Name:</t>
  </si>
  <si>
    <t>Department:</t>
  </si>
  <si>
    <t>Title:</t>
  </si>
  <si>
    <t>In accordance with Summer Compensation Guidelines for Academic Employees, compensation may be paid for employment during the summer service period.</t>
  </si>
  <si>
    <t>Section 1:</t>
  </si>
  <si>
    <t>(To be completed by academic appointee)</t>
  </si>
  <si>
    <t>I request summer salary compensation as follows:</t>
  </si>
  <si>
    <t>Annual Rate (as of June):</t>
  </si>
  <si>
    <t>9th Rate:</t>
  </si>
  <si>
    <t>Annual Rate (as of July, including approved M&amp;P):</t>
  </si>
  <si>
    <t>Month</t>
  </si>
  <si>
    <t>Month*</t>
  </si>
  <si>
    <t>FTE (enter as decimal)</t>
  </si>
  <si>
    <t>Supplemental Funding Needed?</t>
  </si>
  <si>
    <t>Supplemental Amount</t>
  </si>
  <si>
    <t>I will be teaching summer session.</t>
  </si>
  <si>
    <t>(Refer to your administrative appointment election form)</t>
  </si>
  <si>
    <t>I certify the information above is correct.</t>
  </si>
  <si>
    <t xml:space="preserve">Section 2: </t>
  </si>
  <si>
    <t>Yes</t>
  </si>
  <si>
    <t>No</t>
  </si>
  <si>
    <t>NIH</t>
  </si>
  <si>
    <t>NSF</t>
  </si>
  <si>
    <t>C&amp;G</t>
  </si>
  <si>
    <t>Gift</t>
  </si>
  <si>
    <t>General Funds</t>
  </si>
  <si>
    <t>Other</t>
  </si>
  <si>
    <t>Professor</t>
  </si>
  <si>
    <t>Professor B/E/E</t>
  </si>
  <si>
    <t>Assoc. Professor</t>
  </si>
  <si>
    <t>Assoc. Professor B/E/E</t>
  </si>
  <si>
    <t>Asst. Professor</t>
  </si>
  <si>
    <t>Asst. Professor B/E/E</t>
  </si>
  <si>
    <t>Sr. Lecturer SOE</t>
  </si>
  <si>
    <t>Lecturer SOE</t>
  </si>
  <si>
    <t>Lecturer PSOE</t>
  </si>
  <si>
    <t>June</t>
  </si>
  <si>
    <t>July</t>
  </si>
  <si>
    <t>August</t>
  </si>
  <si>
    <t>September</t>
  </si>
  <si>
    <t>Prior to paying summer salary compensation, care must be taken by the department to ensure that previously paid or scheduled summer salary compensation does not put the academic appointee over the 3/9ths maximum.</t>
  </si>
  <si>
    <t>Ladder-rank faculty may be compensated up to a maximum of 3/9ths, or 1/3 of the individual's academic-year annual salary rate for activities assigned during the summer (June-September).</t>
  </si>
  <si>
    <r>
      <t xml:space="preserve">Reduce Salary to Cap Amount? </t>
    </r>
    <r>
      <rPr>
        <b/>
        <vertAlign val="superscript"/>
        <sz val="11"/>
        <color theme="1"/>
        <rFont val="Calibri"/>
        <family val="2"/>
        <scheme val="minor"/>
      </rPr>
      <t>1</t>
    </r>
  </si>
  <si>
    <t>Rate x FTE</t>
  </si>
  <si>
    <t>NIH Cap</t>
  </si>
  <si>
    <t>Executive Level II</t>
  </si>
  <si>
    <t>https://grants.nih.gov/grants/policy/salcap_summary.htm</t>
  </si>
  <si>
    <t>Fund Type (Applicable Salary Cap)**</t>
  </si>
  <si>
    <t>NSF Cap</t>
  </si>
  <si>
    <t>** Custom salary cap value (other than NIH or NSF):</t>
  </si>
  <si>
    <t>1 / 9</t>
  </si>
  <si>
    <t>1.5 / 9</t>
  </si>
  <si>
    <t>2 / 9</t>
  </si>
  <si>
    <t>2.5 / 9</t>
  </si>
  <si>
    <t>3 / 9</t>
  </si>
  <si>
    <r>
      <rPr>
        <vertAlign val="superscript"/>
        <sz val="8"/>
        <color theme="1"/>
        <rFont val="Calibri"/>
        <family val="2"/>
        <scheme val="minor"/>
      </rPr>
      <t>1</t>
    </r>
    <r>
      <rPr>
        <sz val="8"/>
        <color theme="1"/>
        <rFont val="Calibri"/>
        <family val="2"/>
        <scheme val="minor"/>
      </rPr>
      <t xml:space="preserve"> I understand that my salary will be reduced on my summer research appointment, and I will be paid the calculated fixed amount shown.</t>
    </r>
  </si>
  <si>
    <t>Has (or will) any pay been issued on NSF funds that is not included on this form, but does count toward the NSF cap?</t>
  </si>
  <si>
    <t>(if yes, please reduce the amounts paid on NSF funds to be lower than or equal to the cap.)</t>
  </si>
  <si>
    <t>Total NSF included on this form:</t>
  </si>
  <si>
    <t>FTE:</t>
  </si>
  <si>
    <t>Amount:</t>
  </si>
  <si>
    <t xml:space="preserve">If yes, what are the additional amounts paid / to be paid at the: </t>
  </si>
  <si>
    <t>Section 3:</t>
  </si>
  <si>
    <t>Reviewed by:</t>
  </si>
  <si>
    <t>Date</t>
  </si>
  <si>
    <t>HARVEST OFFICE USE ONLY</t>
  </si>
  <si>
    <t>EMPL ID:</t>
  </si>
  <si>
    <t>Job Code:</t>
  </si>
  <si>
    <t>ERN Code:</t>
  </si>
  <si>
    <t>9th Rate Confirmed</t>
  </si>
  <si>
    <t>ACR</t>
  </si>
  <si>
    <t>DIF</t>
  </si>
  <si>
    <t>ACA</t>
  </si>
  <si>
    <t>ACS</t>
  </si>
  <si>
    <t>001100</t>
  </si>
  <si>
    <t>001200</t>
  </si>
  <si>
    <t>001143</t>
  </si>
  <si>
    <t>001243</t>
  </si>
  <si>
    <t>001300</t>
  </si>
  <si>
    <t>001343</t>
  </si>
  <si>
    <t>001607</t>
  </si>
  <si>
    <t>001603</t>
  </si>
  <si>
    <t>001680</t>
  </si>
  <si>
    <t>003205</t>
  </si>
  <si>
    <t>001982</t>
  </si>
  <si>
    <t>003215</t>
  </si>
  <si>
    <t>001984</t>
  </si>
  <si>
    <t>003225</t>
  </si>
  <si>
    <t>001986</t>
  </si>
  <si>
    <t>001604</t>
  </si>
  <si>
    <t>001608</t>
  </si>
  <si>
    <t>001681</t>
  </si>
  <si>
    <t>003201</t>
  </si>
  <si>
    <t>003211</t>
  </si>
  <si>
    <t>003221</t>
  </si>
  <si>
    <t>AFR</t>
  </si>
  <si>
    <t>APSU Reviewer</t>
  </si>
  <si>
    <t>Payroll Reviewer</t>
  </si>
  <si>
    <t>NOTES</t>
  </si>
  <si>
    <t>Revision Date</t>
  </si>
  <si>
    <t>Revision Comments</t>
  </si>
  <si>
    <t>Additional Amount:</t>
  </si>
  <si>
    <t>Additional FTE:</t>
  </si>
  <si>
    <t>Total FTE:</t>
  </si>
  <si>
    <t>Total Amount:</t>
  </si>
  <si>
    <t>Does the total FTE paid on NSF funds exceed the 2/9ths cap or equivalent value?</t>
  </si>
  <si>
    <t>(To be completed/reviewed by the Department Financial Analyst)</t>
  </si>
  <si>
    <t>Amount</t>
  </si>
  <si>
    <t>Prorated Cap</t>
  </si>
  <si>
    <t>FTE</t>
  </si>
  <si>
    <t>Audit Flag</t>
  </si>
  <si>
    <t>Current NIH Cap</t>
  </si>
  <si>
    <t>NSF Audit</t>
  </si>
  <si>
    <t xml:space="preserve">NIH Audit </t>
  </si>
  <si>
    <t>Summer 9ths Audit</t>
  </si>
  <si>
    <t>FTE Total</t>
  </si>
  <si>
    <t>June + September</t>
  </si>
  <si>
    <t>1/9th Audit Flag</t>
  </si>
  <si>
    <t>Per Diem rates per APO Guidelines:</t>
  </si>
  <si>
    <t xml:space="preserve">The maximum 3/9ths total includes all UC paid summer compensation for summer session teaching, administrative appointments and research ninths. </t>
  </si>
  <si>
    <t>CNAS preferred summer salary usage is 1 FTE for July, August, &amp; September.</t>
  </si>
  <si>
    <t>NSC Value:</t>
  </si>
  <si>
    <t>FTE Split</t>
  </si>
  <si>
    <t>IR:</t>
  </si>
  <si>
    <t>OR:</t>
  </si>
  <si>
    <t>CE:</t>
  </si>
  <si>
    <t>IR Salary</t>
  </si>
  <si>
    <t>OR Salary</t>
  </si>
  <si>
    <t>CE Salary</t>
  </si>
  <si>
    <t>IR 9th Rate</t>
  </si>
  <si>
    <t>OR 9th Rate</t>
  </si>
  <si>
    <t>CE 9th Rate</t>
  </si>
  <si>
    <t>Prior to paying summer salary compensation, care must be taken by the department to ensure that previously paid or scheduled summer salary compensation does not put the academic appointee over the 3/9ths maximum for the summer period of June - September.</t>
  </si>
  <si>
    <t>NSC Summer Salary Rate:</t>
  </si>
  <si>
    <t xml:space="preserve"> 1/9th increment:</t>
  </si>
  <si>
    <t>Total Summer Increment:</t>
  </si>
  <si>
    <t>Summer Salary</t>
  </si>
  <si>
    <t>Total 9th Rate:</t>
  </si>
  <si>
    <t>NSTP Audit</t>
  </si>
  <si>
    <t>Total Base Summer Salary:</t>
  </si>
  <si>
    <t>Total Summer Salary:</t>
  </si>
  <si>
    <t>Original TUCS:</t>
  </si>
  <si>
    <t>Final TUCS:</t>
  </si>
  <si>
    <t>Total Summer Salary</t>
  </si>
  <si>
    <t>Base Summer Salary</t>
  </si>
  <si>
    <t>Total 19900</t>
  </si>
  <si>
    <t>Monthly 19900</t>
  </si>
  <si>
    <t>College of Natural and Agricultural Sciences</t>
  </si>
  <si>
    <t>Fiscal-Year Appointees and/or Cooperative Extension Specialists</t>
  </si>
  <si>
    <t>Section 1: Exception Description</t>
  </si>
  <si>
    <t xml:space="preserve"> (To be completed by the Faculty/PI)</t>
  </si>
  <si>
    <t>Please describe the exceptional circumstances necessitating this work:</t>
  </si>
  <si>
    <t>a.)</t>
  </si>
  <si>
    <t>and ending</t>
  </si>
  <si>
    <t>b.)</t>
  </si>
  <si>
    <t>The number of accrued vacation days to be deducted from my vacation balance is:</t>
  </si>
  <si>
    <t>c.)</t>
  </si>
  <si>
    <t>Fund Type</t>
  </si>
  <si>
    <t>d.)</t>
  </si>
  <si>
    <t>e.)</t>
  </si>
  <si>
    <t>f.)</t>
  </si>
  <si>
    <t>NIH:</t>
  </si>
  <si>
    <t>NSF:</t>
  </si>
  <si>
    <t>OTHER:</t>
  </si>
  <si>
    <t>I certify the information above is correct</t>
  </si>
  <si>
    <t>Section 2: Funding Information</t>
  </si>
  <si>
    <t>(To be completed by the Department Financial Analyst)</t>
  </si>
  <si>
    <t>IR</t>
  </si>
  <si>
    <t>OR</t>
  </si>
  <si>
    <t>Salary x FTE</t>
  </si>
  <si>
    <t>Section 3: Capped Funding Only</t>
  </si>
  <si>
    <t>(To be completed if "Yes" on Section 1.e.)</t>
  </si>
  <si>
    <t>October</t>
  </si>
  <si>
    <t>November</t>
  </si>
  <si>
    <t>December</t>
  </si>
  <si>
    <t>February</t>
  </si>
  <si>
    <t>March</t>
  </si>
  <si>
    <t>April</t>
  </si>
  <si>
    <t>May</t>
  </si>
  <si>
    <t>January</t>
  </si>
  <si>
    <t>If other, please provide an explanation of the fund's salary cap rules:</t>
  </si>
  <si>
    <r>
      <t>I request additional compensation under Academic Personnel Manual Policy 600-14-c for work that I will perform during my vacation (see below for FY appointees &amp; CE Specialists</t>
    </r>
    <r>
      <rPr>
        <vertAlign val="superscript"/>
        <sz val="11"/>
        <color theme="1"/>
        <rFont val="Calibri"/>
        <family val="2"/>
        <scheme val="minor"/>
      </rPr>
      <t>1</t>
    </r>
    <r>
      <rPr>
        <sz val="11"/>
        <color theme="1"/>
        <rFont val="Calibri"/>
        <family val="2"/>
        <scheme val="minor"/>
      </rPr>
      <t>).</t>
    </r>
  </si>
  <si>
    <r>
      <t>I understand that compensation from State general funds is not permitted, and agree to forfeit the number of vacation days that correspond to the days for which I will receive compensation, and may not exceed these proportions of annual salary</t>
    </r>
    <r>
      <rPr>
        <vertAlign val="superscript"/>
        <sz val="11"/>
        <color theme="1"/>
        <rFont val="Calibri"/>
        <family val="2"/>
        <scheme val="minor"/>
      </rPr>
      <t>2, 3</t>
    </r>
    <r>
      <rPr>
        <sz val="11"/>
        <color theme="1"/>
        <rFont val="Calibri"/>
        <family val="2"/>
        <scheme val="minor"/>
      </rPr>
      <t>.</t>
    </r>
  </si>
  <si>
    <t>1/11</t>
  </si>
  <si>
    <t>1/12</t>
  </si>
  <si>
    <t>Rate</t>
  </si>
  <si>
    <t>Where can I find EMPL ID or Net ID?</t>
  </si>
  <si>
    <t>Department Chair</t>
  </si>
  <si>
    <t>001096</t>
  </si>
  <si>
    <t>Vice Chair</t>
  </si>
  <si>
    <t>001094</t>
  </si>
  <si>
    <t>Director</t>
  </si>
  <si>
    <t>000900</t>
  </si>
  <si>
    <t>Working hours - Holdidays</t>
  </si>
  <si>
    <t># Working Hours</t>
  </si>
  <si>
    <t># Vacation Days</t>
  </si>
  <si>
    <t>Rate x Percent</t>
  </si>
  <si>
    <t>Annual Salary</t>
  </si>
  <si>
    <t>CE *</t>
  </si>
  <si>
    <t>*CE appointments are not recorded on UCR ledgers.  Please reach out to APSU for CE salary.</t>
  </si>
  <si>
    <t xml:space="preserve">I will preform the work described above </t>
  </si>
  <si>
    <t>starting</t>
  </si>
  <si>
    <r>
      <rPr>
        <vertAlign val="superscript"/>
        <sz val="8"/>
        <color theme="1"/>
        <rFont val="Calibri"/>
        <family val="2"/>
        <scheme val="minor"/>
      </rPr>
      <t>1</t>
    </r>
    <r>
      <rPr>
        <sz val="8"/>
        <color theme="1"/>
        <rFont val="Calibri"/>
        <family val="2"/>
        <scheme val="minor"/>
      </rPr>
      <t>CE Specialists- please consult with your Academic Personnel Service Unit (APSU) Analyst to determine your eligibility.</t>
    </r>
  </si>
  <si>
    <r>
      <rPr>
        <vertAlign val="superscript"/>
        <sz val="8"/>
        <color theme="1"/>
        <rFont val="Calibri"/>
        <family val="2"/>
        <scheme val="minor"/>
      </rPr>
      <t>2</t>
    </r>
    <r>
      <rPr>
        <sz val="8"/>
        <color theme="1"/>
        <rFont val="Calibri"/>
        <family val="2"/>
        <scheme val="minor"/>
      </rPr>
      <t>CE Specialists- the additional compensation must come from extramural grants, based on an approved budget which includes PI summer compensation. No state or commodity funds (including endowment payout or various donor funds) may be used.</t>
    </r>
  </si>
  <si>
    <r>
      <rPr>
        <vertAlign val="superscript"/>
        <sz val="8"/>
        <color theme="1"/>
        <rFont val="Calibri"/>
        <family val="2"/>
        <scheme val="minor"/>
      </rPr>
      <t>3</t>
    </r>
    <r>
      <rPr>
        <sz val="8"/>
        <color theme="1"/>
        <rFont val="Calibri"/>
        <family val="2"/>
        <scheme val="minor"/>
      </rPr>
      <t>The use of State general funds (19900) is prohibited. Various donor funds may be used. Extramural funds may be used only if additional compensation has been budgeted or written by exception.</t>
    </r>
  </si>
  <si>
    <r>
      <rPr>
        <vertAlign val="superscript"/>
        <sz val="8"/>
        <color theme="1"/>
        <rFont val="Calibri"/>
        <family val="2"/>
        <scheme val="minor"/>
      </rPr>
      <t>4</t>
    </r>
    <r>
      <rPr>
        <sz val="8"/>
        <color theme="1"/>
        <rFont val="Calibri"/>
        <family val="2"/>
        <scheme val="minor"/>
      </rPr>
      <t>Sponsored Project Certification: I understand that any percentage of time charged to a sponsored project requires me to be exclusively engaged in the research project for the same percentage of time.</t>
    </r>
  </si>
  <si>
    <t>Rate:</t>
  </si>
  <si>
    <t>Salary:</t>
  </si>
  <si>
    <t>CE Specialist</t>
  </si>
  <si>
    <t>Assoc. CE Specialist</t>
  </si>
  <si>
    <t>Asst. CE Specialist</t>
  </si>
  <si>
    <t>003479</t>
  </si>
  <si>
    <t>003477</t>
  </si>
  <si>
    <t>003475</t>
  </si>
  <si>
    <t>11th or 12th Rate Confirmed</t>
  </si>
  <si>
    <t>Add'l Comp Job Code:</t>
  </si>
  <si>
    <t>Total</t>
  </si>
  <si>
    <t>Monthly Summer Cap</t>
  </si>
  <si>
    <t>Total Summer Cap</t>
  </si>
  <si>
    <t>Additional Comp</t>
  </si>
  <si>
    <t>NIH Audit</t>
  </si>
  <si>
    <t>NIH Audit Flag</t>
  </si>
  <si>
    <t>Total NIH Additional Comp Max</t>
  </si>
  <si>
    <t>Total NIH listed</t>
  </si>
  <si>
    <t xml:space="preserve">CNAS guidelines: The preferred use is taking 1/9th in July, August and September when maximizing 3/9ths summer salary. However, June can be utilized if needed. June and September up to 1.000 will be allowed. </t>
  </si>
  <si>
    <t>summertime</t>
  </si>
  <si>
    <t>password:</t>
  </si>
  <si>
    <t>This field must be complete to calculate below.   If no M&amp;P or M&amp;P is still pending, enter the annual rate as of June.</t>
  </si>
  <si>
    <t>* Per Diem flag is for faculty taking June and September</t>
  </si>
  <si>
    <t>Per Diem Flag*</t>
  </si>
  <si>
    <t>CNAS preferred summer salary usage is 1 FTE for July, August, &amp; September. Disregard Per Diem Flag when following CNAS Guidelines</t>
  </si>
  <si>
    <t>TOTAL NIH</t>
  </si>
  <si>
    <t>NIFA</t>
  </si>
  <si>
    <t>NIFA CAP</t>
  </si>
  <si>
    <t>Executive Level IV</t>
  </si>
  <si>
    <t>Monthly</t>
  </si>
  <si>
    <t>Total Cap</t>
  </si>
  <si>
    <t>https://www.opm.gov/policy-data-oversight/pay-leave/salaries-wages/</t>
  </si>
  <si>
    <t>NIFA Audit</t>
  </si>
  <si>
    <t>Current NIFA Cap</t>
  </si>
  <si>
    <t>Total NIFA Additional Comp Max</t>
  </si>
  <si>
    <t>Total NIFA listed</t>
  </si>
  <si>
    <t>Salary Cap Amount (at 100%)</t>
  </si>
  <si>
    <t>Revision</t>
  </si>
  <si>
    <t>Request Type:</t>
  </si>
  <si>
    <t>Comments:</t>
  </si>
  <si>
    <t>PI Net ID:</t>
  </si>
  <si>
    <t>Section 4:</t>
  </si>
  <si>
    <t>(note: calculation fields will populate once section 2 is completed)</t>
  </si>
  <si>
    <t>My appointment date was made prior to July 1, 2014 (1/11)</t>
  </si>
  <si>
    <t>My appointment date was made on or after July 1, 2014 (1/12)</t>
  </si>
  <si>
    <t>I am 100% Cooperative Extension (CE) Specialist (1/12)</t>
  </si>
  <si>
    <t>if no appointment type is selected at the top of the worksheet, calculations default to 1/11 rate</t>
  </si>
  <si>
    <t>FTE should total 1.00 for most faculty</t>
  </si>
  <si>
    <t>Primary Title:</t>
  </si>
  <si>
    <t>Where can I find Faculty salary and FTE breakdown?</t>
  </si>
  <si>
    <t>The best way to find the current annual salary and FTE breakdown can be found on the Employee Funding Roster (EFR).</t>
  </si>
  <si>
    <t>The EFR can be loaded from the snapshot home page under the reports tab.</t>
  </si>
  <si>
    <t xml:space="preserve">The Employee ID of EMPL ID can also be found on the Employee Funding Roster (EFR). </t>
  </si>
  <si>
    <t>(To be completed by Department Financial Analyst)</t>
  </si>
  <si>
    <t>Financial Analyst</t>
  </si>
  <si>
    <r>
      <t xml:space="preserve">Fiscal-year (FY) appointees additional compensation rate is determined by appointment type and date.  Please </t>
    </r>
    <r>
      <rPr>
        <b/>
        <sz val="11"/>
        <color theme="1"/>
        <rFont val="Calibri"/>
        <family val="2"/>
        <scheme val="minor"/>
      </rPr>
      <t>select one</t>
    </r>
    <r>
      <rPr>
        <sz val="11"/>
        <color theme="1"/>
        <rFont val="Calibri"/>
        <family val="2"/>
        <scheme val="minor"/>
      </rPr>
      <t xml:space="preserve"> of the following:</t>
    </r>
  </si>
  <si>
    <t>Professor - FY</t>
  </si>
  <si>
    <t>001110</t>
  </si>
  <si>
    <t>Assoc. Professor - FY</t>
  </si>
  <si>
    <t>001210</t>
  </si>
  <si>
    <t>Asst. Professor - FY</t>
  </si>
  <si>
    <t>001310</t>
  </si>
  <si>
    <t>Agricultural Operations</t>
  </si>
  <si>
    <t>Biochemistry</t>
  </si>
  <si>
    <t>Botany and Plant Sciences</t>
  </si>
  <si>
    <t>Chemistry</t>
  </si>
  <si>
    <t>Earth and Planetary Sciences</t>
  </si>
  <si>
    <t>Entomology</t>
  </si>
  <si>
    <t>Environmental Sciences</t>
  </si>
  <si>
    <t>Evolution, Ecology &amp; Orgns Bio</t>
  </si>
  <si>
    <t>Mathematics</t>
  </si>
  <si>
    <t>Microbiology &amp; Plant Pathology</t>
  </si>
  <si>
    <t>Molecular, Cell &amp; Systems Bio</t>
  </si>
  <si>
    <t>Natural Reserves</t>
  </si>
  <si>
    <t>Nematology</t>
  </si>
  <si>
    <t>Physics and Astronomy</t>
  </si>
  <si>
    <t>Statistics</t>
  </si>
  <si>
    <t>Net ID:</t>
  </si>
  <si>
    <t>Faculty Confirmation</t>
  </si>
  <si>
    <t>Date:</t>
  </si>
  <si>
    <t>Transaction ID:</t>
  </si>
  <si>
    <t>Confirmed UCPATH Accrual Adjustment (# of decrement days)</t>
  </si>
  <si>
    <t>Insert image of approval email for records.</t>
  </si>
  <si>
    <t>image of PI approval email can be added to "Approval email" tab for the record</t>
  </si>
  <si>
    <t>g.)</t>
  </si>
  <si>
    <t xml:space="preserve">Account: </t>
  </si>
  <si>
    <t>NSTP Summer Salary</t>
  </si>
  <si>
    <t>Type the approval names in the appropriate sections of the appropriate form</t>
  </si>
  <si>
    <t>Insert a screen shot of the PI's approval on the "Approval email" tab</t>
  </si>
  <si>
    <t>Complete the appropriate form on one of the following tabs:</t>
  </si>
  <si>
    <t>Directions for use:</t>
  </si>
  <si>
    <t>Last Updated:</t>
  </si>
  <si>
    <t>By:</t>
  </si>
  <si>
    <t>Cherie Pierce</t>
  </si>
  <si>
    <t>Please ensure the image is legible.</t>
  </si>
  <si>
    <t>Account:</t>
  </si>
  <si>
    <t>Anthro/Soci Admin Unit</t>
  </si>
  <si>
    <t>Anthropology</t>
  </si>
  <si>
    <t>Archaeological Research Unit</t>
  </si>
  <si>
    <t>Art</t>
  </si>
  <si>
    <t>Art/Art History Admin</t>
  </si>
  <si>
    <t>CHA&amp;SS  Unallocated Res.</t>
  </si>
  <si>
    <t>CHA&amp;SS Dean's Office</t>
  </si>
  <si>
    <t>CHA&amp;SS Student Affairs</t>
  </si>
  <si>
    <t>CHASS Facilities MGMT</t>
  </si>
  <si>
    <t>Cntr for Biblio. Studies</t>
  </si>
  <si>
    <t>Cntr for Ideas and Society</t>
  </si>
  <si>
    <t>Cntr for Social &amp; Beh. Sci Res</t>
  </si>
  <si>
    <t>Comp Lit &amp; For Lang/Hisp Admin</t>
  </si>
  <si>
    <t>Comparative Lit &amp; Languages</t>
  </si>
  <si>
    <t>Creative Writing</t>
  </si>
  <si>
    <t>Dance</t>
  </si>
  <si>
    <t>Econ/Poli Sci Admin Unit</t>
  </si>
  <si>
    <t>Economics</t>
  </si>
  <si>
    <t>English</t>
  </si>
  <si>
    <t>English/Hist/Phil Admin Unit</t>
  </si>
  <si>
    <t>Ethnic Studies</t>
  </si>
  <si>
    <t>Gender &amp; Sexuality Studies</t>
  </si>
  <si>
    <t>Gluck Administration</t>
  </si>
  <si>
    <t>Hispanic Studies</t>
  </si>
  <si>
    <t>History</t>
  </si>
  <si>
    <t>History of Art</t>
  </si>
  <si>
    <t>Institute-Resch: World Systems</t>
  </si>
  <si>
    <t>Latin American Studies</t>
  </si>
  <si>
    <t>Liberal Stds &amp; lnterdisc Prgs</t>
  </si>
  <si>
    <t>Media &amp; Cultural Studies</t>
  </si>
  <si>
    <t>MFA Writing Desert Campus</t>
  </si>
  <si>
    <t>Multidisciplinary Admin Unit</t>
  </si>
  <si>
    <t>Music</t>
  </si>
  <si>
    <t>Performing Arts Admin</t>
  </si>
  <si>
    <t>Philosophy</t>
  </si>
  <si>
    <t>Physical Education-Inactive</t>
  </si>
  <si>
    <t>Political Science</t>
  </si>
  <si>
    <t>Psychology</t>
  </si>
  <si>
    <t>Religious Studies</t>
  </si>
  <si>
    <t>Sociology</t>
  </si>
  <si>
    <t>Theatre</t>
  </si>
  <si>
    <t>UCR ARTS</t>
  </si>
  <si>
    <t>Black Studies</t>
  </si>
  <si>
    <t>Society Envmt Health Equity</t>
  </si>
  <si>
    <t>CNAS Only</t>
  </si>
  <si>
    <t>December 2025</t>
  </si>
  <si>
    <t>November 2025</t>
  </si>
  <si>
    <t>October 2025</t>
  </si>
  <si>
    <t>September 2025</t>
  </si>
  <si>
    <t>August 2025</t>
  </si>
  <si>
    <t>July 2025</t>
  </si>
  <si>
    <t>June 2025</t>
  </si>
  <si>
    <t>May 2025</t>
  </si>
  <si>
    <t>April 2025</t>
  </si>
  <si>
    <t>March 2025</t>
  </si>
  <si>
    <t>February 2025</t>
  </si>
  <si>
    <t>January 2025</t>
  </si>
  <si>
    <t>COA (Entity-Fund-Activity-Functn-Program-Project-Flex1-Flex2)</t>
  </si>
  <si>
    <t>Supplemental COA (non-capped funding source)
(Entity-Fund-Activity-Functn-Program-Project-Flex1-Flex2)</t>
  </si>
  <si>
    <t>Amount of Prime COA</t>
  </si>
  <si>
    <t>COA 
(Entity-Fund-Activity-Functn-Program-Project-Flex1-Flex2)</t>
  </si>
  <si>
    <t>The Employee NetID can be found at profiles.ucr.edu</t>
  </si>
  <si>
    <t>Be sure to log in before you search</t>
  </si>
  <si>
    <t>Section 5:</t>
  </si>
  <si>
    <t>DIV DEAN APPROVAL</t>
  </si>
  <si>
    <t>CNAS</t>
  </si>
  <si>
    <t>CHASS</t>
  </si>
  <si>
    <t>HARVEST Shared Services Center - CHASS</t>
  </si>
  <si>
    <t>Summer Salary CHASS</t>
  </si>
  <si>
    <t>Used by CNAS</t>
  </si>
  <si>
    <t>Professor of Teaching</t>
  </si>
  <si>
    <t>001687</t>
  </si>
  <si>
    <t>Associate Professor of Teaching</t>
  </si>
  <si>
    <t>Assistant Professor of Teaching</t>
  </si>
  <si>
    <t>001688</t>
  </si>
  <si>
    <t>001696</t>
  </si>
  <si>
    <t>001686</t>
  </si>
  <si>
    <t>001692</t>
  </si>
  <si>
    <t>001695</t>
  </si>
  <si>
    <t xml:space="preserve">Employee ID: </t>
  </si>
  <si>
    <r>
      <t xml:space="preserve">Please complete all applicable </t>
    </r>
    <r>
      <rPr>
        <b/>
        <sz val="11"/>
        <color theme="1"/>
        <rFont val="Calibri"/>
        <family val="2"/>
        <scheme val="minor"/>
      </rPr>
      <t>green</t>
    </r>
    <r>
      <rPr>
        <sz val="11"/>
        <color theme="1"/>
        <rFont val="Calibri"/>
        <family val="2"/>
        <scheme val="minor"/>
      </rPr>
      <t xml:space="preserve"> fields</t>
    </r>
  </si>
  <si>
    <r>
      <t xml:space="preserve">Please complete all applicable </t>
    </r>
    <r>
      <rPr>
        <b/>
        <sz val="11"/>
        <color theme="1"/>
        <rFont val="Calibri"/>
        <family val="2"/>
        <scheme val="minor"/>
      </rPr>
      <t>orange</t>
    </r>
    <r>
      <rPr>
        <sz val="11"/>
        <color theme="1"/>
        <rFont val="Calibri"/>
        <family val="2"/>
        <scheme val="minor"/>
      </rPr>
      <t xml:space="preserve"> fields</t>
    </r>
  </si>
  <si>
    <r>
      <t xml:space="preserve">Please complete all applicable </t>
    </r>
    <r>
      <rPr>
        <b/>
        <sz val="11"/>
        <color theme="1"/>
        <rFont val="Calibri"/>
        <family val="2"/>
        <scheme val="minor"/>
      </rPr>
      <t>pink</t>
    </r>
    <r>
      <rPr>
        <sz val="11"/>
        <color theme="1"/>
        <rFont val="Calibri"/>
        <family val="2"/>
        <scheme val="minor"/>
      </rPr>
      <t xml:space="preserve"> fields</t>
    </r>
  </si>
  <si>
    <t>HARVEST Shared Services Center - CNAS</t>
  </si>
  <si>
    <t>If "Yes":</t>
  </si>
  <si>
    <t>Summer Session Amount:</t>
  </si>
  <si>
    <t>Employee ID:</t>
  </si>
  <si>
    <t>(FAO Approval)</t>
  </si>
  <si>
    <t>Approved by:</t>
  </si>
  <si>
    <r>
      <rPr>
        <b/>
        <sz val="11"/>
        <color theme="1"/>
        <rFont val="Calibri"/>
        <family val="2"/>
        <scheme val="minor"/>
      </rPr>
      <t>Acknowledgement</t>
    </r>
    <r>
      <rPr>
        <sz val="11"/>
        <color theme="1"/>
        <rFont val="Calibri"/>
        <family val="2"/>
        <scheme val="minor"/>
      </rPr>
      <t>:  I understand that any percentage of time charged to a sponsored project requires me to be exclusively engaged in the research project for the same percentage of time.</t>
    </r>
  </si>
  <si>
    <r>
      <rPr>
        <b/>
        <sz val="11"/>
        <color theme="1"/>
        <rFont val="Calibri"/>
        <family val="2"/>
        <scheme val="minor"/>
      </rPr>
      <t>Acknowledgement:</t>
    </r>
    <r>
      <rPr>
        <sz val="11"/>
        <color theme="1"/>
        <rFont val="Calibri"/>
        <family val="2"/>
        <scheme val="minor"/>
      </rPr>
      <t xml:space="preserve">  I understand that any percentage of time charged to a sponsored project requires me to be exclusively engaged in the research project for the same percentage of time.</t>
    </r>
  </si>
  <si>
    <t xml:space="preserve">Approved by: </t>
  </si>
  <si>
    <t>Divisional Dean</t>
  </si>
  <si>
    <t>Deapartment FAO</t>
  </si>
  <si>
    <t>Used by CHASS</t>
  </si>
  <si>
    <t>-</t>
  </si>
  <si>
    <t>PI</t>
  </si>
  <si>
    <t>Department Analyst</t>
  </si>
  <si>
    <t>PATH</t>
  </si>
  <si>
    <t>Department FAO</t>
  </si>
  <si>
    <t>Routing/Approvals</t>
  </si>
  <si>
    <t>Check Date</t>
  </si>
  <si>
    <t>APSU Review</t>
  </si>
  <si>
    <t>HARVEST Entry Deadline</t>
  </si>
  <si>
    <t>Summer Salary / Additional Comp Worksheet</t>
  </si>
  <si>
    <t>The below deadlines provide a guide to the lead time needed for review, approvals and processing into PATH.</t>
  </si>
  <si>
    <t>Total 9ths (includes summer session)</t>
  </si>
  <si>
    <t>FTE 9th Conversion:</t>
  </si>
  <si>
    <r>
      <t xml:space="preserve">Please complete all applicable </t>
    </r>
    <r>
      <rPr>
        <b/>
        <sz val="11"/>
        <color theme="1"/>
        <rFont val="Calibri"/>
        <family val="2"/>
        <scheme val="minor"/>
      </rPr>
      <t>blue</t>
    </r>
    <r>
      <rPr>
        <sz val="11"/>
        <color theme="1"/>
        <rFont val="Calibri"/>
        <family val="2"/>
        <scheme val="minor"/>
      </rPr>
      <t xml:space="preserve"> fields</t>
    </r>
  </si>
  <si>
    <r>
      <t>Is any COA above a sponsored project</t>
    </r>
    <r>
      <rPr>
        <vertAlign val="superscript"/>
        <sz val="11"/>
        <color theme="1"/>
        <rFont val="Calibri"/>
        <family val="2"/>
        <scheme val="minor"/>
      </rPr>
      <t>4</t>
    </r>
    <r>
      <rPr>
        <sz val="11"/>
        <color theme="1"/>
        <rFont val="Calibri"/>
        <family val="2"/>
        <scheme val="minor"/>
      </rPr>
      <t>?</t>
    </r>
  </si>
  <si>
    <t>Does any COA above a salary cap?</t>
  </si>
  <si>
    <t>Annual salary is found in "Total Comp Rate" column</t>
  </si>
  <si>
    <t>NOTE: Faculty with CE appointments are not correct on the EFR, please reach out to APSU for current CE salary rate</t>
  </si>
  <si>
    <t>Salary Cap Year</t>
  </si>
  <si>
    <t>Reduce OS</t>
  </si>
  <si>
    <t>COA's and dates to be charged:</t>
  </si>
  <si>
    <t>Reduce Salary to Cap Amount?*</t>
  </si>
  <si>
    <t>* By checking "Yes", I understand that my salary will be reduced on my research appointment, and I will be paid the calculated fixed amount shown.</t>
  </si>
  <si>
    <t>CE</t>
  </si>
  <si>
    <t>IR/OR</t>
  </si>
  <si>
    <t>For HARVEST USE</t>
  </si>
  <si>
    <t>HARVEST ONLY
GAP amount:</t>
  </si>
  <si>
    <t>GAP value:</t>
  </si>
  <si>
    <t>Pay Period End</t>
  </si>
  <si>
    <r>
      <t xml:space="preserve">Rate x FTE </t>
    </r>
    <r>
      <rPr>
        <b/>
        <sz val="9"/>
        <color theme="1"/>
        <rFont val="Calibri"/>
        <family val="2"/>
        <scheme val="minor"/>
      </rPr>
      <t>(without salary cap reduction)</t>
    </r>
  </si>
  <si>
    <r>
      <rPr>
        <vertAlign val="superscript"/>
        <sz val="10"/>
        <color theme="1"/>
        <rFont val="Calibri"/>
        <family val="2"/>
        <scheme val="minor"/>
      </rPr>
      <t>1</t>
    </r>
    <r>
      <rPr>
        <sz val="10"/>
        <color theme="1"/>
        <rFont val="Calibri"/>
        <family val="2"/>
        <scheme val="minor"/>
      </rPr>
      <t xml:space="preserve"> By checking "Yes", I understand that my salary will be reduced on my summer research appointment, and I will be paid the calculated fixed amount shown.  Further, a max of 1.0 FTE can be used when reducing to the Salary Cap (no Per Diem FTE)</t>
    </r>
  </si>
  <si>
    <t>HOW DOES THE DEPT GET NOTIFIED OF THE POSITION # TO ADD COA</t>
  </si>
  <si>
    <r>
      <t xml:space="preserve">Amount on Prime COA </t>
    </r>
    <r>
      <rPr>
        <b/>
        <sz val="8"/>
        <color theme="1"/>
        <rFont val="Calibri"/>
        <family val="2"/>
        <scheme val="minor"/>
      </rPr>
      <t>(includes Salary Reduction)</t>
    </r>
  </si>
  <si>
    <t>should match K52 on Form B side 1</t>
  </si>
  <si>
    <t>Award Issue Date</t>
  </si>
  <si>
    <t>APSU (via Snapshot)</t>
  </si>
  <si>
    <t>HARVEST (via Snapshot)</t>
  </si>
  <si>
    <t>Effort during period listed</t>
  </si>
  <si>
    <t>(written as %)</t>
  </si>
  <si>
    <t>Monthly Effort (as decimal)</t>
  </si>
  <si>
    <t>Holidays Hrs</t>
  </si>
  <si>
    <t>double check these equations</t>
  </si>
  <si>
    <t>Snapshot Deadline</t>
  </si>
  <si>
    <t>Please note: Entry into PATH can take several days.  Please utilize the above timeline for summer salary submissions.  The standard snapshot deadlines does not allow adequate time for summer salary processing.</t>
  </si>
  <si>
    <t>Month* JUNE ONLY</t>
  </si>
  <si>
    <t>Month* 
JULY - SEPT</t>
  </si>
  <si>
    <t>Please process as an off-cycle check, first available payout</t>
  </si>
  <si>
    <t>Total NSP</t>
  </si>
  <si>
    <t>Annual NSP Increment on NIH Funds*</t>
  </si>
  <si>
    <t>Total Assigned COA</t>
  </si>
  <si>
    <t>G35 on NSP Form B side 1</t>
  </si>
  <si>
    <t xml:space="preserve">Department Analyst </t>
  </si>
  <si>
    <t>Summer Salary CNAS JUNE</t>
  </si>
  <si>
    <t>Summer Salary CNAS Jul-Sep</t>
  </si>
  <si>
    <t>Upload the excel version of the completed form to Snapshot</t>
  </si>
  <si>
    <t>HARVEST will create (or reactivate) the position and add # to snapshot notes</t>
  </si>
  <si>
    <t>HARVEST will email dept with the position # and request COA update in the position funding tool</t>
  </si>
  <si>
    <t>The department can review the snapshot request for updated notes as well</t>
  </si>
  <si>
    <t>WHAT IS THE PRACTICE FOR OUTSTANDING M&amp;P</t>
  </si>
  <si>
    <t>This email should act as a reminder to the department to submit an updated form (HARVEST will move snapshot to initiator status so form can be uploaded)</t>
  </si>
  <si>
    <t>APSU will copy FOM and analyst who submitted the summer salary request on M&amp;P announcement</t>
  </si>
  <si>
    <t>This form is for JUNE summer salary only</t>
  </si>
  <si>
    <t xml:space="preserve">Please be aware that we cannot always guarantee payment for a specific check cycle. </t>
  </si>
  <si>
    <t>Initial</t>
  </si>
  <si>
    <t>Due to the short turnaround time, NSP qualifications, and M&amp;P announcements, we recommend requesting summer salary from July - Sept.</t>
  </si>
  <si>
    <t>Assoc. Professor of Teaching</t>
  </si>
  <si>
    <t>Asst. Professor of Teaching</t>
  </si>
  <si>
    <t>CNAS guidelines for NSP participants:  required use of taking 1/9th for July, August and September to max the required 3/9ths summer salary.</t>
  </si>
  <si>
    <t>* Annual NSP Increment is the additional amount paid July-June as part of the NSP agreement.  If the increment is paid on NIH funds, include it here.</t>
  </si>
  <si>
    <t>Divisional Dean (completed offline, APSU will coordinate)</t>
  </si>
  <si>
    <t>Max Percentage</t>
  </si>
  <si>
    <t>Per diem</t>
  </si>
  <si>
    <t>Max Working days</t>
  </si>
  <si>
    <t>NSP SS</t>
  </si>
  <si>
    <t>Summer Salary Jul-Sep CNAS</t>
  </si>
  <si>
    <t>Summer Salary June CNAS</t>
  </si>
  <si>
    <t>CNAS Summer Salary</t>
  </si>
  <si>
    <t>CNAS Add'l Comp</t>
  </si>
  <si>
    <t>Estimated Benefits on Prime COA @10.2%</t>
  </si>
  <si>
    <t>Estimated Benefits on Supplement COA @10.2%</t>
  </si>
  <si>
    <t>December 2026</t>
  </si>
  <si>
    <t>November 2026</t>
  </si>
  <si>
    <t>October 2026</t>
  </si>
  <si>
    <t>September 2026</t>
  </si>
  <si>
    <t>August 2026</t>
  </si>
  <si>
    <t>July 2026</t>
  </si>
  <si>
    <t>June 2026</t>
  </si>
  <si>
    <t>May 2026</t>
  </si>
  <si>
    <t>April 2026</t>
  </si>
  <si>
    <t>March 2026</t>
  </si>
  <si>
    <t>February 2026</t>
  </si>
  <si>
    <t>January 2026</t>
  </si>
  <si>
    <t>2026 Working Days Grid</t>
  </si>
  <si>
    <t>data is on UCOP website</t>
  </si>
  <si>
    <t>new year is usually posted early October</t>
  </si>
  <si>
    <t>file name:  UCPath Montly Working Hours Calendar</t>
  </si>
  <si>
    <t>Estimated Benefits on Supplement COA @ 10.2%</t>
  </si>
  <si>
    <t>Estimated Benefits on Prime COA @ 10.2%</t>
  </si>
  <si>
    <t>Estimated Benefits @ 10.2%</t>
  </si>
  <si>
    <t>June 2026:</t>
  </si>
  <si>
    <t>July 2026:</t>
  </si>
  <si>
    <t>Aug 2026:</t>
  </si>
  <si>
    <t>Sept 2026:</t>
  </si>
  <si>
    <t>I have applied to participate in NSP in AY 26-27.</t>
  </si>
  <si>
    <t>*The combined percentages paid for June and September must not exceed 100% when compensation for both July and August are at 100%, and cannot exceed 3/9ths or 57 days for the summer period. Note: M/P rate increases effective July 1, 2026 will not be considered in the June request.</t>
  </si>
  <si>
    <t>I currently have an administrative appointment in AY 26-7 and have elected to receive summer salary at a maximum of</t>
  </si>
  <si>
    <t>2026 Summer Salary (FY26) - Academic Year Appointees</t>
  </si>
  <si>
    <r>
      <t xml:space="preserve">I currently have a  merit or promotion </t>
    </r>
    <r>
      <rPr>
        <b/>
        <sz val="12"/>
        <color rgb="FFFF0000"/>
        <rFont val="Calibri"/>
        <family val="2"/>
        <scheme val="minor"/>
      </rPr>
      <t>pending</t>
    </r>
    <r>
      <rPr>
        <b/>
        <sz val="12"/>
        <color theme="1"/>
        <rFont val="Calibri"/>
        <family val="2"/>
        <scheme val="minor"/>
      </rPr>
      <t xml:space="preserve"> effective July 1, 2026:</t>
    </r>
  </si>
  <si>
    <t>I currently have an administrative appointment in AY 26-27 and have elected to receive summer salary at a maximum of</t>
  </si>
  <si>
    <t>I currently have a  merit or promotion pending effective July 1, 2026:</t>
  </si>
  <si>
    <t>2026 Summer Salary (FY26)- CNAS Academic Year Appointees with NSP</t>
  </si>
  <si>
    <t>I have been approved to participate in NSP in AY 26-27.</t>
  </si>
  <si>
    <t>I currently have an administrative appointment in 26-27 and have elected to receive summer salary at a maximum of</t>
  </si>
  <si>
    <t>Fiscal Year 2026-2027 UCR Additional Compensation Exceptional Requests</t>
  </si>
  <si>
    <t>I currently have a  M&amp;P pending effective July 1, 2026:</t>
  </si>
  <si>
    <t>Faculty do not need to approve the summer salary form again, but a comment needs to be added confirming the PI is aware of the revision</t>
  </si>
  <si>
    <r>
      <rPr>
        <b/>
        <sz val="11"/>
        <color theme="1"/>
        <rFont val="Calibri"/>
        <family val="2"/>
        <scheme val="minor"/>
      </rPr>
      <t>Submission Deadlines:</t>
    </r>
    <r>
      <rPr>
        <sz val="11"/>
        <color theme="1"/>
        <rFont val="Calibri"/>
        <family val="2"/>
        <scheme val="minor"/>
      </rPr>
      <t xml:space="preserve"> </t>
    </r>
    <r>
      <rPr>
        <sz val="11"/>
        <color rgb="FFFF0000"/>
        <rFont val="Calibri"/>
        <family val="2"/>
        <scheme val="minor"/>
      </rPr>
      <t>assuming form is correct and does not need to be returned for revisions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</si>
</sst>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_(* #,##0_);_(* \(#,##0\);_(* &quot;-&quot;??_);_(@_)"/>
    <numFmt numFmtId="166" formatCode="[$-409]mmmm\ d\,\ yyyy;@"/>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sz val="11"/>
      <color rgb="FF7030A0"/>
      <name val="Calibri"/>
      <family val="2"/>
      <scheme val="minor"/>
    </font>
    <font>
      <b/>
      <sz val="11"/>
      <color rgb="FF7030A0"/>
      <name val="Calibri"/>
      <family val="2"/>
      <scheme val="minor"/>
    </font>
    <font>
      <b/>
      <vertAlign val="superscript"/>
      <sz val="11"/>
      <color theme="1"/>
      <name val="Calibri"/>
      <family val="2"/>
      <scheme val="minor"/>
    </font>
    <font>
      <i/>
      <sz val="11"/>
      <color theme="1"/>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u/>
      <sz val="11"/>
      <color theme="1"/>
      <name val="Calibri"/>
      <family val="2"/>
      <scheme val="minor"/>
    </font>
    <font>
      <vertAlign val="superscript"/>
      <sz val="8"/>
      <color theme="1"/>
      <name val="Calibri"/>
      <family val="2"/>
      <scheme val="minor"/>
    </font>
    <font>
      <i/>
      <sz val="9"/>
      <color theme="1"/>
      <name val="Calibri"/>
      <family val="2"/>
      <scheme val="minor"/>
    </font>
    <font>
      <b/>
      <sz val="11"/>
      <color rgb="FFFF0000"/>
      <name val="Calibri"/>
      <family val="2"/>
      <scheme val="minor"/>
    </font>
    <font>
      <b/>
      <sz val="12"/>
      <color rgb="FFFF0000"/>
      <name val="Calibri"/>
      <family val="2"/>
      <scheme val="minor"/>
    </font>
    <font>
      <b/>
      <i/>
      <sz val="11"/>
      <color theme="1"/>
      <name val="Calibri"/>
      <family val="2"/>
      <scheme val="minor"/>
    </font>
    <font>
      <sz val="11"/>
      <color theme="0" tint="-4.9989318521683403E-2"/>
      <name val="Calibri"/>
      <family val="2"/>
      <scheme val="minor"/>
    </font>
    <font>
      <b/>
      <sz val="16"/>
      <color theme="1"/>
      <name val="Calibri"/>
      <family val="2"/>
      <scheme val="minor"/>
    </font>
    <font>
      <sz val="8"/>
      <color rgb="FF00B050"/>
      <name val="Calibri"/>
      <family val="2"/>
      <scheme val="minor"/>
    </font>
    <font>
      <sz val="9"/>
      <color rgb="FFFF0000"/>
      <name val="Calibri"/>
      <family val="2"/>
      <scheme val="minor"/>
    </font>
    <font>
      <sz val="8"/>
      <name val="Calibri"/>
      <family val="2"/>
      <scheme val="minor"/>
    </font>
    <font>
      <sz val="11"/>
      <color rgb="FF000000"/>
      <name val="Calibri"/>
      <family val="2"/>
      <scheme val="minor"/>
    </font>
    <font>
      <sz val="8"/>
      <color theme="9" tint="-0.249977111117893"/>
      <name val="Calibri"/>
      <family val="2"/>
      <scheme val="minor"/>
    </font>
    <font>
      <b/>
      <sz val="14"/>
      <color theme="1"/>
      <name val="Calibri"/>
      <family val="2"/>
      <scheme val="minor"/>
    </font>
    <font>
      <sz val="11"/>
      <color theme="0" tint="-0.34998626667073579"/>
      <name val="Calibri"/>
      <family val="2"/>
      <scheme val="minor"/>
    </font>
    <font>
      <b/>
      <sz val="8"/>
      <color rgb="FFFF0000"/>
      <name val="Calibri"/>
      <family val="2"/>
      <scheme val="minor"/>
    </font>
    <font>
      <b/>
      <sz val="12"/>
      <color theme="1"/>
      <name val="Calibri"/>
      <family val="2"/>
      <scheme val="minor"/>
    </font>
    <font>
      <b/>
      <sz val="10"/>
      <color theme="9"/>
      <name val="Calibri"/>
      <family val="2"/>
      <scheme val="minor"/>
    </font>
    <font>
      <sz val="11"/>
      <color theme="0"/>
      <name val="Calibri"/>
      <family val="2"/>
      <scheme val="minor"/>
    </font>
    <font>
      <sz val="8"/>
      <color theme="0" tint="-0.34998626667073579"/>
      <name val="Calibri"/>
      <family val="2"/>
      <scheme val="minor"/>
    </font>
    <font>
      <b/>
      <sz val="11"/>
      <name val="Calibri"/>
      <family val="2"/>
      <scheme val="minor"/>
    </font>
    <font>
      <vertAlign val="superscript"/>
      <sz val="10"/>
      <color theme="1"/>
      <name val="Calibri"/>
      <family val="2"/>
      <scheme val="minor"/>
    </font>
    <font>
      <sz val="9"/>
      <color theme="2" tint="-0.749992370372631"/>
      <name val="Calibri"/>
      <family val="2"/>
      <scheme val="minor"/>
    </font>
    <font>
      <sz val="11"/>
      <color theme="0" tint="-0.14999847407452621"/>
      <name val="Calibri"/>
      <family val="2"/>
      <scheme val="minor"/>
    </font>
    <font>
      <b/>
      <sz val="9"/>
      <color theme="1"/>
      <name val="Calibri"/>
      <family val="2"/>
      <scheme val="minor"/>
    </font>
    <font>
      <b/>
      <sz val="8"/>
      <color theme="1"/>
      <name val="Calibri"/>
      <family val="2"/>
      <scheme val="minor"/>
    </font>
    <font>
      <sz val="9"/>
      <color indexed="81"/>
      <name val="Tahoma"/>
      <family val="2"/>
    </font>
    <font>
      <b/>
      <sz val="9"/>
      <color indexed="81"/>
      <name val="Tahoma"/>
      <family val="2"/>
    </font>
    <font>
      <sz val="11"/>
      <color rgb="FF00B050"/>
      <name val="Calibri"/>
      <family val="2"/>
      <scheme val="minor"/>
    </font>
    <font>
      <sz val="11"/>
      <color theme="8" tint="-0.249977111117893"/>
      <name val="Calibri"/>
      <family val="2"/>
      <scheme val="minor"/>
    </font>
    <font>
      <sz val="11"/>
      <color theme="9" tint="-0.499984740745262"/>
      <name val="Calibri"/>
      <family val="2"/>
      <scheme val="minor"/>
    </font>
    <font>
      <b/>
      <sz val="11"/>
      <color rgb="FF00B050"/>
      <name val="Calibri"/>
      <family val="2"/>
      <scheme val="minor"/>
    </font>
  </fonts>
  <fills count="2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ECF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CC99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59999389629810485"/>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top/>
      <bottom style="hair">
        <color auto="1"/>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theme="0" tint="-0.34998626667073579"/>
      </left>
      <right/>
      <top style="thin">
        <color indexed="64"/>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theme="0" tint="-0.34998626667073579"/>
      </bottom>
      <diagonal/>
    </border>
    <border>
      <left/>
      <right/>
      <top style="thin">
        <color indexed="64"/>
      </top>
      <bottom style="thin">
        <color theme="0" tint="-0.34998626667073579"/>
      </bottom>
      <diagonal/>
    </border>
    <border>
      <left/>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theme="0" tint="-0.34998626667073579"/>
      </right>
      <top style="thin">
        <color indexed="64"/>
      </top>
      <bottom/>
      <diagonal/>
    </border>
    <border>
      <left style="thin">
        <color indexed="64"/>
      </left>
      <right style="thin">
        <color theme="0" tint="-0.34998626667073579"/>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cellStyleXfs>
  <cellXfs count="392">
    <xf numFmtId="0" fontId="0" fillId="0" borderId="0" xfId="0"/>
    <xf numFmtId="0" fontId="0" fillId="0" borderId="0" xfId="0" applyAlignment="1">
      <alignment wrapText="1"/>
    </xf>
    <xf numFmtId="0" fontId="3" fillId="0" borderId="0" xfId="0" applyFont="1"/>
    <xf numFmtId="44" fontId="0" fillId="0" borderId="0" xfId="2" applyFont="1"/>
    <xf numFmtId="0" fontId="0" fillId="0" borderId="0" xfId="0" applyAlignment="1">
      <alignment horizontal="right"/>
    </xf>
    <xf numFmtId="44" fontId="0" fillId="0" borderId="1" xfId="2" applyFont="1" applyBorder="1"/>
    <xf numFmtId="0" fontId="0" fillId="3" borderId="0" xfId="0" applyFill="1"/>
    <xf numFmtId="0" fontId="0" fillId="0" borderId="7" xfId="0" applyBorder="1"/>
    <xf numFmtId="0" fontId="0" fillId="0" borderId="8" xfId="0" applyBorder="1"/>
    <xf numFmtId="0" fontId="0" fillId="0" borderId="9" xfId="0" applyBorder="1"/>
    <xf numFmtId="0" fontId="0" fillId="0" borderId="1" xfId="0" applyBorder="1"/>
    <xf numFmtId="0" fontId="0" fillId="0" borderId="10" xfId="0" applyBorder="1"/>
    <xf numFmtId="43" fontId="0" fillId="0" borderId="0" xfId="1" applyFont="1" applyBorder="1"/>
    <xf numFmtId="43" fontId="0" fillId="0" borderId="1" xfId="1" applyFont="1" applyBorder="1"/>
    <xf numFmtId="44" fontId="0" fillId="0" borderId="0" xfId="2" applyFont="1" applyBorder="1"/>
    <xf numFmtId="0" fontId="9" fillId="0" borderId="0" xfId="0" applyFont="1"/>
    <xf numFmtId="43" fontId="0" fillId="0" borderId="0" xfId="1" applyFont="1"/>
    <xf numFmtId="0" fontId="10" fillId="0" borderId="0" xfId="3"/>
    <xf numFmtId="0" fontId="0" fillId="0" borderId="0" xfId="0" applyAlignment="1">
      <alignment horizontal="center"/>
    </xf>
    <xf numFmtId="0" fontId="12" fillId="0" borderId="0" xfId="0" applyFont="1"/>
    <xf numFmtId="0" fontId="13" fillId="0" borderId="0" xfId="0" applyFont="1"/>
    <xf numFmtId="0" fontId="11" fillId="0" borderId="0" xfId="0" applyFont="1" applyAlignment="1">
      <alignment horizontal="right"/>
    </xf>
    <xf numFmtId="44" fontId="0" fillId="0" borderId="0" xfId="0" applyNumberFormat="1"/>
    <xf numFmtId="0" fontId="11" fillId="0" borderId="0" xfId="0" applyFont="1" applyAlignment="1">
      <alignment horizontal="left"/>
    </xf>
    <xf numFmtId="0" fontId="3" fillId="0" borderId="0" xfId="0" applyFont="1" applyAlignment="1">
      <alignment horizontal="right"/>
    </xf>
    <xf numFmtId="49" fontId="0" fillId="0" borderId="0" xfId="0" applyNumberFormat="1"/>
    <xf numFmtId="0" fontId="16" fillId="0" borderId="0" xfId="0" applyFont="1"/>
    <xf numFmtId="0" fontId="0" fillId="0" borderId="13" xfId="0" applyBorder="1"/>
    <xf numFmtId="0" fontId="3" fillId="5" borderId="3" xfId="0" applyFont="1" applyFill="1" applyBorder="1" applyAlignment="1">
      <alignment horizontal="center" wrapText="1"/>
    </xf>
    <xf numFmtId="44" fontId="0" fillId="3" borderId="1" xfId="2" applyFont="1" applyFill="1" applyBorder="1"/>
    <xf numFmtId="43" fontId="0" fillId="3" borderId="0" xfId="1" applyFont="1" applyFill="1"/>
    <xf numFmtId="43" fontId="0" fillId="3" borderId="1" xfId="1" applyFont="1" applyFill="1" applyBorder="1"/>
    <xf numFmtId="0" fontId="18" fillId="0" borderId="0" xfId="0" applyFont="1"/>
    <xf numFmtId="43" fontId="0" fillId="0" borderId="0" xfId="1" applyFont="1" applyFill="1" applyBorder="1"/>
    <xf numFmtId="0" fontId="0" fillId="0" borderId="0" xfId="0" applyAlignment="1">
      <alignment vertical="top"/>
    </xf>
    <xf numFmtId="43" fontId="0" fillId="0" borderId="0" xfId="0" applyNumberFormat="1"/>
    <xf numFmtId="0" fontId="17" fillId="0" borderId="0" xfId="0" applyFont="1"/>
    <xf numFmtId="0" fontId="17" fillId="0" borderId="8" xfId="0" applyFont="1" applyBorder="1"/>
    <xf numFmtId="0" fontId="17" fillId="0" borderId="10" xfId="0" applyFont="1" applyBorder="1"/>
    <xf numFmtId="44" fontId="0" fillId="3" borderId="15" xfId="2" applyFont="1" applyFill="1" applyBorder="1"/>
    <xf numFmtId="44" fontId="0" fillId="3" borderId="18" xfId="2" applyFont="1" applyFill="1" applyBorder="1"/>
    <xf numFmtId="44" fontId="0" fillId="3" borderId="14" xfId="2" applyFont="1" applyFill="1" applyBorder="1"/>
    <xf numFmtId="0" fontId="0" fillId="3" borderId="15" xfId="0" applyFill="1" applyBorder="1"/>
    <xf numFmtId="44" fontId="0" fillId="3" borderId="15" xfId="0" applyNumberFormat="1" applyFill="1" applyBorder="1"/>
    <xf numFmtId="44" fontId="0" fillId="3" borderId="17" xfId="2" applyFont="1" applyFill="1" applyBorder="1"/>
    <xf numFmtId="0" fontId="0" fillId="3" borderId="18" xfId="0" applyFill="1" applyBorder="1"/>
    <xf numFmtId="44" fontId="0" fillId="3" borderId="18" xfId="0" applyNumberFormat="1" applyFill="1" applyBorder="1"/>
    <xf numFmtId="44" fontId="0" fillId="3" borderId="20" xfId="2" applyFont="1" applyFill="1" applyBorder="1"/>
    <xf numFmtId="0" fontId="0" fillId="3" borderId="21" xfId="0" applyFill="1" applyBorder="1"/>
    <xf numFmtId="0" fontId="0" fillId="0" borderId="0" xfId="0" applyAlignment="1">
      <alignment horizontal="left"/>
    </xf>
    <xf numFmtId="43" fontId="0" fillId="3" borderId="0" xfId="0" applyNumberFormat="1" applyFill="1"/>
    <xf numFmtId="43" fontId="0" fillId="3" borderId="1" xfId="0" applyNumberFormat="1" applyFill="1" applyBorder="1"/>
    <xf numFmtId="0" fontId="3" fillId="0" borderId="8" xfId="0" applyFont="1" applyBorder="1"/>
    <xf numFmtId="0" fontId="6" fillId="0" borderId="8" xfId="0" applyFont="1" applyBorder="1"/>
    <xf numFmtId="0" fontId="2" fillId="0" borderId="1" xfId="0" applyFont="1" applyBorder="1"/>
    <xf numFmtId="0" fontId="17" fillId="0" borderId="1" xfId="0" applyFont="1" applyBorder="1"/>
    <xf numFmtId="0" fontId="0" fillId="0" borderId="0" xfId="0" applyAlignment="1">
      <alignment horizontal="left" vertical="top"/>
    </xf>
    <xf numFmtId="0" fontId="16" fillId="0" borderId="0" xfId="0" applyFont="1" applyAlignment="1">
      <alignment horizontal="center"/>
    </xf>
    <xf numFmtId="0" fontId="0" fillId="5" borderId="3" xfId="0" applyFill="1" applyBorder="1"/>
    <xf numFmtId="0" fontId="0" fillId="3" borderId="3" xfId="0" applyFill="1" applyBorder="1"/>
    <xf numFmtId="43" fontId="0" fillId="3" borderId="3" xfId="1" applyFont="1" applyFill="1" applyBorder="1"/>
    <xf numFmtId="0" fontId="0" fillId="5" borderId="3" xfId="0" applyFill="1" applyBorder="1" applyAlignment="1">
      <alignment horizontal="center"/>
    </xf>
    <xf numFmtId="44" fontId="0" fillId="3" borderId="3" xfId="2" applyFont="1" applyFill="1" applyBorder="1"/>
    <xf numFmtId="14" fontId="0" fillId="0" borderId="0" xfId="0" applyNumberFormat="1"/>
    <xf numFmtId="14" fontId="0" fillId="0" borderId="1" xfId="0" applyNumberFormat="1" applyBorder="1"/>
    <xf numFmtId="44" fontId="0" fillId="8" borderId="3" xfId="2" applyFont="1" applyFill="1" applyBorder="1"/>
    <xf numFmtId="43" fontId="0" fillId="8" borderId="3" xfId="1" applyFont="1" applyFill="1" applyBorder="1"/>
    <xf numFmtId="43" fontId="0" fillId="3" borderId="3" xfId="0" applyNumberFormat="1" applyFill="1" applyBorder="1"/>
    <xf numFmtId="165" fontId="0" fillId="3" borderId="3" xfId="1" applyNumberFormat="1" applyFont="1" applyFill="1" applyBorder="1"/>
    <xf numFmtId="0" fontId="0" fillId="5" borderId="0" xfId="0" applyFill="1"/>
    <xf numFmtId="0" fontId="3" fillId="0" borderId="0" xfId="0" applyFont="1" applyAlignment="1">
      <alignment wrapText="1"/>
    </xf>
    <xf numFmtId="0" fontId="0" fillId="0" borderId="23" xfId="0" applyBorder="1"/>
    <xf numFmtId="43" fontId="0" fillId="3" borderId="10" xfId="1" applyFont="1" applyFill="1" applyBorder="1" applyAlignment="1"/>
    <xf numFmtId="44" fontId="1" fillId="3" borderId="1" xfId="2" applyFont="1" applyFill="1" applyBorder="1"/>
    <xf numFmtId="44" fontId="0" fillId="10" borderId="0" xfId="0" applyNumberFormat="1" applyFill="1"/>
    <xf numFmtId="0" fontId="2" fillId="3" borderId="3" xfId="0" applyFont="1" applyFill="1" applyBorder="1"/>
    <xf numFmtId="44" fontId="0" fillId="4" borderId="1" xfId="2" applyFont="1" applyFill="1" applyBorder="1" applyProtection="1">
      <protection locked="0"/>
    </xf>
    <xf numFmtId="0" fontId="0" fillId="4" borderId="1" xfId="0" applyFill="1" applyBorder="1" applyProtection="1">
      <protection locked="0"/>
    </xf>
    <xf numFmtId="164" fontId="0" fillId="4" borderId="15" xfId="1" applyNumberFormat="1" applyFont="1" applyFill="1" applyBorder="1" applyProtection="1">
      <protection locked="0"/>
    </xf>
    <xf numFmtId="0" fontId="0" fillId="4" borderId="17" xfId="0" applyFill="1" applyBorder="1" applyProtection="1">
      <protection locked="0"/>
    </xf>
    <xf numFmtId="164" fontId="0" fillId="4" borderId="18" xfId="1" applyNumberFormat="1" applyFont="1" applyFill="1" applyBorder="1" applyProtection="1">
      <protection locked="0"/>
    </xf>
    <xf numFmtId="164" fontId="0" fillId="4" borderId="21" xfId="1" applyNumberFormat="1" applyFont="1" applyFill="1" applyBorder="1" applyProtection="1">
      <protection locked="0"/>
    </xf>
    <xf numFmtId="44" fontId="0" fillId="4" borderId="10" xfId="2" applyFont="1" applyFill="1" applyBorder="1" applyAlignment="1" applyProtection="1">
      <protection locked="0"/>
    </xf>
    <xf numFmtId="0" fontId="0" fillId="9" borderId="1" xfId="0" applyFill="1" applyBorder="1" applyProtection="1">
      <protection locked="0"/>
    </xf>
    <xf numFmtId="14" fontId="0" fillId="0" borderId="3" xfId="0" applyNumberFormat="1" applyBorder="1" applyAlignment="1" applyProtection="1">
      <alignment wrapText="1"/>
      <protection locked="0"/>
    </xf>
    <xf numFmtId="0" fontId="0" fillId="7" borderId="1" xfId="0" applyFill="1" applyBorder="1" applyProtection="1">
      <protection locked="0"/>
    </xf>
    <xf numFmtId="44" fontId="0" fillId="7" borderId="1" xfId="2" applyFont="1" applyFill="1" applyBorder="1" applyProtection="1">
      <protection locked="0"/>
    </xf>
    <xf numFmtId="0" fontId="0" fillId="7" borderId="14" xfId="0" applyFill="1" applyBorder="1" applyProtection="1">
      <protection locked="0"/>
    </xf>
    <xf numFmtId="164" fontId="0" fillId="7" borderId="15" xfId="1" applyNumberFormat="1" applyFont="1" applyFill="1" applyBorder="1" applyProtection="1">
      <protection locked="0"/>
    </xf>
    <xf numFmtId="0" fontId="0" fillId="7" borderId="17" xfId="0" applyFill="1" applyBorder="1" applyProtection="1">
      <protection locked="0"/>
    </xf>
    <xf numFmtId="164" fontId="0" fillId="7" borderId="18" xfId="1" applyNumberFormat="1" applyFont="1" applyFill="1" applyBorder="1" applyProtection="1">
      <protection locked="0"/>
    </xf>
    <xf numFmtId="0" fontId="0" fillId="7" borderId="20" xfId="0" applyFill="1" applyBorder="1" applyProtection="1">
      <protection locked="0"/>
    </xf>
    <xf numFmtId="164" fontId="0" fillId="7" borderId="21" xfId="1" applyNumberFormat="1" applyFont="1" applyFill="1" applyBorder="1" applyProtection="1">
      <protection locked="0"/>
    </xf>
    <xf numFmtId="44" fontId="0" fillId="7" borderId="10" xfId="2" applyFont="1" applyFill="1" applyBorder="1" applyAlignment="1" applyProtection="1">
      <protection locked="0"/>
    </xf>
    <xf numFmtId="0" fontId="0" fillId="0" borderId="3" xfId="0" applyBorder="1" applyAlignment="1" applyProtection="1">
      <alignment wrapText="1"/>
      <protection locked="0"/>
    </xf>
    <xf numFmtId="14" fontId="0" fillId="6" borderId="1" xfId="0" applyNumberFormat="1" applyFill="1" applyBorder="1" applyProtection="1">
      <protection locked="0"/>
    </xf>
    <xf numFmtId="0" fontId="0" fillId="6" borderId="3" xfId="0" applyFill="1" applyBorder="1" applyProtection="1">
      <protection locked="0"/>
    </xf>
    <xf numFmtId="0" fontId="5" fillId="6" borderId="1" xfId="0" applyFont="1" applyFill="1" applyBorder="1" applyProtection="1">
      <protection locked="0"/>
    </xf>
    <xf numFmtId="0" fontId="0" fillId="0" borderId="0" xfId="0" applyProtection="1">
      <protection locked="0"/>
    </xf>
    <xf numFmtId="44" fontId="0" fillId="6" borderId="3" xfId="2" applyFont="1" applyFill="1" applyBorder="1" applyProtection="1">
      <protection locked="0"/>
    </xf>
    <xf numFmtId="43" fontId="0" fillId="6" borderId="3" xfId="1" applyFont="1" applyFill="1" applyBorder="1" applyAlignment="1" applyProtection="1">
      <alignment horizontal="center"/>
      <protection locked="0"/>
    </xf>
    <xf numFmtId="0" fontId="20" fillId="0" borderId="0" xfId="0" applyFont="1" applyProtection="1">
      <protection locked="0"/>
    </xf>
    <xf numFmtId="0" fontId="0" fillId="11" borderId="0" xfId="0" applyFill="1"/>
    <xf numFmtId="0" fontId="22" fillId="0" borderId="0" xfId="0" applyFont="1" applyAlignment="1">
      <alignment vertical="top"/>
    </xf>
    <xf numFmtId="0" fontId="13" fillId="0" borderId="0" xfId="0" applyFont="1" applyAlignment="1">
      <alignment horizontal="left" vertical="top" wrapText="1"/>
    </xf>
    <xf numFmtId="0" fontId="23" fillId="0" borderId="0" xfId="0" applyFont="1"/>
    <xf numFmtId="0" fontId="6" fillId="0" borderId="0" xfId="0" applyFont="1"/>
    <xf numFmtId="0" fontId="0" fillId="12" borderId="0" xfId="0" applyFill="1"/>
    <xf numFmtId="0" fontId="6" fillId="12" borderId="0" xfId="0" applyFont="1" applyFill="1"/>
    <xf numFmtId="0" fontId="24" fillId="12" borderId="1" xfId="0" applyFont="1" applyFill="1" applyBorder="1"/>
    <xf numFmtId="43" fontId="0" fillId="12" borderId="1" xfId="1" applyFont="1" applyFill="1" applyBorder="1"/>
    <xf numFmtId="0" fontId="3" fillId="0" borderId="0" xfId="0" applyFont="1" applyAlignment="1">
      <alignment horizontal="right" wrapText="1"/>
    </xf>
    <xf numFmtId="0" fontId="0" fillId="0" borderId="7" xfId="0" applyBorder="1" applyAlignment="1">
      <alignment wrapText="1"/>
    </xf>
    <xf numFmtId="44" fontId="0" fillId="0" borderId="0" xfId="0" applyNumberFormat="1" applyAlignment="1">
      <alignment wrapText="1"/>
    </xf>
    <xf numFmtId="0" fontId="0" fillId="0" borderId="8" xfId="0" applyBorder="1" applyAlignment="1">
      <alignment wrapText="1"/>
    </xf>
    <xf numFmtId="0" fontId="3" fillId="0" borderId="8" xfId="0" applyFont="1" applyBorder="1" applyAlignment="1">
      <alignment wrapText="1"/>
    </xf>
    <xf numFmtId="0" fontId="0" fillId="8" borderId="7" xfId="0" applyFill="1" applyBorder="1" applyAlignment="1">
      <alignment horizontal="center" wrapText="1"/>
    </xf>
    <xf numFmtId="43" fontId="0" fillId="8" borderId="7" xfId="0" applyNumberFormat="1" applyFill="1" applyBorder="1" applyAlignment="1">
      <alignment horizontal="left"/>
    </xf>
    <xf numFmtId="0" fontId="12" fillId="0" borderId="9" xfId="0" applyFont="1" applyBorder="1"/>
    <xf numFmtId="0" fontId="19" fillId="4" borderId="4" xfId="0" applyFont="1" applyFill="1" applyBorder="1"/>
    <xf numFmtId="0" fontId="0" fillId="4" borderId="5" xfId="0" applyFill="1" applyBorder="1"/>
    <xf numFmtId="0" fontId="0" fillId="4" borderId="6" xfId="0" applyFill="1" applyBorder="1"/>
    <xf numFmtId="0" fontId="19" fillId="7" borderId="4" xfId="0" applyFont="1" applyFill="1" applyBorder="1"/>
    <xf numFmtId="0" fontId="0" fillId="7" borderId="5" xfId="0" applyFill="1" applyBorder="1"/>
    <xf numFmtId="0" fontId="0" fillId="7" borderId="6" xfId="0" applyFill="1" applyBorder="1"/>
    <xf numFmtId="44" fontId="0" fillId="3" borderId="26" xfId="2" applyFont="1" applyFill="1" applyBorder="1"/>
    <xf numFmtId="0" fontId="19" fillId="13" borderId="4" xfId="0" applyFont="1" applyFill="1" applyBorder="1"/>
    <xf numFmtId="0" fontId="0" fillId="13" borderId="5" xfId="0" applyFill="1" applyBorder="1"/>
    <xf numFmtId="0" fontId="0" fillId="13" borderId="6" xfId="0" applyFill="1" applyBorder="1"/>
    <xf numFmtId="43" fontId="5" fillId="3" borderId="3" xfId="1" applyFont="1" applyFill="1" applyBorder="1"/>
    <xf numFmtId="0" fontId="0" fillId="10" borderId="0" xfId="0" applyFill="1"/>
    <xf numFmtId="0" fontId="3" fillId="10" borderId="0" xfId="0" applyFont="1" applyFill="1"/>
    <xf numFmtId="0" fontId="7" fillId="10" borderId="0" xfId="0" applyFont="1" applyFill="1"/>
    <xf numFmtId="0" fontId="3" fillId="0" borderId="0" xfId="0" applyFont="1" applyAlignment="1">
      <alignment horizontal="right" vertical="top"/>
    </xf>
    <xf numFmtId="0" fontId="0" fillId="6" borderId="1" xfId="0" applyFill="1" applyBorder="1" applyProtection="1">
      <protection locked="0"/>
    </xf>
    <xf numFmtId="0" fontId="0" fillId="0" borderId="0" xfId="0" applyAlignment="1" applyProtection="1">
      <alignment vertical="top" wrapText="1"/>
      <protection locked="0"/>
    </xf>
    <xf numFmtId="0" fontId="9" fillId="10" borderId="0" xfId="0" applyFont="1" applyFill="1"/>
    <xf numFmtId="0" fontId="3" fillId="10" borderId="5" xfId="0" applyFont="1" applyFill="1" applyBorder="1"/>
    <xf numFmtId="0" fontId="0" fillId="10" borderId="5" xfId="0" applyFill="1" applyBorder="1"/>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44" fontId="0" fillId="0" borderId="0" xfId="2" applyFont="1" applyFill="1" applyBorder="1" applyAlignment="1" applyProtection="1">
      <protection locked="0"/>
    </xf>
    <xf numFmtId="43" fontId="0" fillId="0" borderId="0" xfId="1" applyFont="1" applyFill="1" applyBorder="1" applyAlignment="1"/>
    <xf numFmtId="0" fontId="9" fillId="10" borderId="5" xfId="0" applyFont="1" applyFill="1" applyBorder="1"/>
    <xf numFmtId="14" fontId="0" fillId="0" borderId="3" xfId="0" applyNumberFormat="1" applyBorder="1" applyAlignment="1" applyProtection="1">
      <alignment horizontal="left" vertical="top" wrapText="1"/>
      <protection locked="0"/>
    </xf>
    <xf numFmtId="0" fontId="3" fillId="8" borderId="3" xfId="0" applyFont="1" applyFill="1" applyBorder="1" applyAlignment="1">
      <alignment horizontal="center"/>
    </xf>
    <xf numFmtId="0" fontId="3" fillId="8" borderId="3" xfId="0" applyFont="1" applyFill="1" applyBorder="1" applyAlignment="1">
      <alignment horizontal="center" wrapText="1"/>
    </xf>
    <xf numFmtId="0" fontId="3" fillId="14" borderId="3" xfId="0" applyFont="1" applyFill="1" applyBorder="1" applyAlignment="1">
      <alignment horizontal="center" wrapText="1"/>
    </xf>
    <xf numFmtId="0" fontId="3" fillId="0" borderId="12" xfId="0" applyFont="1" applyBorder="1" applyAlignment="1">
      <alignment horizontal="center" wrapText="1"/>
    </xf>
    <xf numFmtId="165" fontId="0" fillId="3" borderId="2" xfId="0" applyNumberFormat="1" applyFill="1" applyBorder="1"/>
    <xf numFmtId="0" fontId="17" fillId="0" borderId="0" xfId="0" applyFont="1" applyAlignment="1">
      <alignment vertical="top"/>
    </xf>
    <xf numFmtId="49" fontId="0" fillId="0" borderId="0" xfId="0" applyNumberFormat="1" applyAlignment="1">
      <alignment horizontal="right" vertical="top"/>
    </xf>
    <xf numFmtId="0" fontId="25" fillId="0" borderId="0" xfId="0" applyFont="1"/>
    <xf numFmtId="0" fontId="26" fillId="0" borderId="0" xfId="0" applyFont="1"/>
    <xf numFmtId="43" fontId="0" fillId="0" borderId="0" xfId="1" applyFont="1" applyFill="1" applyBorder="1" applyProtection="1"/>
    <xf numFmtId="43" fontId="0" fillId="0" borderId="0" xfId="1" applyFont="1" applyFill="1"/>
    <xf numFmtId="0" fontId="28" fillId="0" borderId="0" xfId="0" applyFont="1" applyAlignment="1">
      <alignment vertical="top"/>
    </xf>
    <xf numFmtId="0" fontId="0" fillId="0" borderId="0" xfId="0" applyAlignment="1" applyProtection="1">
      <alignment horizontal="left"/>
      <protection locked="0"/>
    </xf>
    <xf numFmtId="43" fontId="29" fillId="0" borderId="0" xfId="1" applyFont="1" applyFill="1" applyBorder="1"/>
    <xf numFmtId="0" fontId="0" fillId="0" borderId="0" xfId="0" applyAlignment="1" applyProtection="1">
      <alignment horizontal="right"/>
      <protection locked="0"/>
    </xf>
    <xf numFmtId="43" fontId="0" fillId="3" borderId="3" xfId="1" applyFont="1" applyFill="1" applyBorder="1" applyAlignment="1" applyProtection="1"/>
    <xf numFmtId="1" fontId="0" fillId="9" borderId="1" xfId="0" applyNumberFormat="1" applyFill="1" applyBorder="1" applyProtection="1">
      <protection locked="0"/>
    </xf>
    <xf numFmtId="0" fontId="30" fillId="0" borderId="0" xfId="0" applyFont="1"/>
    <xf numFmtId="44" fontId="0" fillId="0" borderId="0" xfId="2" applyFont="1" applyFill="1" applyBorder="1"/>
    <xf numFmtId="44" fontId="0" fillId="6" borderId="1" xfId="2" applyFont="1" applyFill="1" applyBorder="1" applyProtection="1">
      <protection locked="0"/>
    </xf>
    <xf numFmtId="0" fontId="31" fillId="0" borderId="0" xfId="0" applyFont="1"/>
    <xf numFmtId="0" fontId="0" fillId="2" borderId="0" xfId="0" applyFill="1"/>
    <xf numFmtId="0" fontId="0" fillId="6" borderId="2" xfId="0" applyFill="1" applyBorder="1" applyProtection="1">
      <protection locked="0"/>
    </xf>
    <xf numFmtId="0" fontId="32" fillId="16" borderId="0" xfId="0" applyFont="1" applyFill="1"/>
    <xf numFmtId="0" fontId="32" fillId="15" borderId="0" xfId="0" applyFont="1" applyFill="1"/>
    <xf numFmtId="0" fontId="33" fillId="0" borderId="0" xfId="0" applyFont="1"/>
    <xf numFmtId="0" fontId="33" fillId="0" borderId="0" xfId="0" applyFont="1" applyAlignment="1">
      <alignment horizontal="right"/>
    </xf>
    <xf numFmtId="0" fontId="28" fillId="0" borderId="0" xfId="0" applyFont="1"/>
    <xf numFmtId="14" fontId="33" fillId="0" borderId="0" xfId="0" applyNumberFormat="1" applyFont="1"/>
    <xf numFmtId="0" fontId="0" fillId="17" borderId="0" xfId="0" applyFill="1"/>
    <xf numFmtId="0" fontId="5" fillId="0" borderId="27" xfId="0" applyFont="1" applyBorder="1" applyAlignment="1">
      <alignment vertical="top"/>
    </xf>
    <xf numFmtId="0" fontId="5" fillId="0" borderId="28" xfId="0" applyFont="1" applyBorder="1" applyAlignment="1">
      <alignment vertical="top"/>
    </xf>
    <xf numFmtId="43" fontId="0" fillId="10" borderId="0" xfId="0" applyNumberFormat="1" applyFill="1" applyAlignment="1">
      <alignment horizontal="left"/>
    </xf>
    <xf numFmtId="0" fontId="0" fillId="18" borderId="0" xfId="0" applyFill="1"/>
    <xf numFmtId="49" fontId="0" fillId="5" borderId="0" xfId="0" applyNumberFormat="1" applyFill="1"/>
    <xf numFmtId="0" fontId="5" fillId="0" borderId="0" xfId="0" applyFont="1"/>
    <xf numFmtId="0" fontId="0" fillId="19" borderId="0" xfId="0" applyFill="1"/>
    <xf numFmtId="0" fontId="19" fillId="18" borderId="4" xfId="0" applyFont="1" applyFill="1" applyBorder="1"/>
    <xf numFmtId="0" fontId="0" fillId="18" borderId="5" xfId="0" applyFill="1" applyBorder="1"/>
    <xf numFmtId="0" fontId="0" fillId="18" borderId="6" xfId="0" applyFill="1" applyBorder="1"/>
    <xf numFmtId="164" fontId="0" fillId="3" borderId="1" xfId="1" applyNumberFormat="1" applyFont="1" applyFill="1" applyBorder="1"/>
    <xf numFmtId="0" fontId="16" fillId="0" borderId="13" xfId="0" applyFont="1" applyBorder="1"/>
    <xf numFmtId="0" fontId="0" fillId="3" borderId="1" xfId="0" applyFill="1" applyBorder="1"/>
    <xf numFmtId="0" fontId="3" fillId="0" borderId="0" xfId="0" applyFont="1" applyAlignment="1">
      <alignment horizontal="center"/>
    </xf>
    <xf numFmtId="0" fontId="0" fillId="20" borderId="0" xfId="0" applyFill="1"/>
    <xf numFmtId="0" fontId="3" fillId="16" borderId="0" xfId="0" applyFont="1" applyFill="1" applyAlignment="1">
      <alignment horizontal="center"/>
    </xf>
    <xf numFmtId="0" fontId="32" fillId="21" borderId="0" xfId="0" applyFont="1" applyFill="1"/>
    <xf numFmtId="0" fontId="3" fillId="21" borderId="0" xfId="0" applyFont="1" applyFill="1" applyAlignment="1">
      <alignment horizontal="center"/>
    </xf>
    <xf numFmtId="166" fontId="0" fillId="0" borderId="0" xfId="0" applyNumberFormat="1"/>
    <xf numFmtId="0" fontId="3" fillId="24" borderId="0" xfId="0" applyFont="1" applyFill="1"/>
    <xf numFmtId="43" fontId="0" fillId="25" borderId="1" xfId="0" applyNumberFormat="1" applyFill="1" applyBorder="1"/>
    <xf numFmtId="44" fontId="0" fillId="25" borderId="1" xfId="0" applyNumberFormat="1" applyFill="1" applyBorder="1"/>
    <xf numFmtId="44" fontId="0" fillId="25" borderId="0" xfId="0" applyNumberFormat="1" applyFill="1"/>
    <xf numFmtId="43" fontId="0" fillId="25" borderId="0" xfId="0" applyNumberFormat="1" applyFill="1"/>
    <xf numFmtId="43" fontId="0" fillId="25" borderId="1" xfId="1" applyFont="1" applyFill="1" applyBorder="1"/>
    <xf numFmtId="44" fontId="0" fillId="25" borderId="1" xfId="2" applyFont="1" applyFill="1" applyBorder="1"/>
    <xf numFmtId="43" fontId="0" fillId="25" borderId="0" xfId="1" applyFont="1" applyFill="1"/>
    <xf numFmtId="44" fontId="0" fillId="25" borderId="15" xfId="2" applyFont="1" applyFill="1" applyBorder="1"/>
    <xf numFmtId="44" fontId="0" fillId="25" borderId="18" xfId="2" applyFont="1" applyFill="1" applyBorder="1"/>
    <xf numFmtId="44" fontId="0" fillId="25" borderId="21" xfId="2" applyFont="1" applyFill="1" applyBorder="1"/>
    <xf numFmtId="44" fontId="0" fillId="25" borderId="15" xfId="0" applyNumberFormat="1" applyFill="1" applyBorder="1"/>
    <xf numFmtId="44" fontId="0" fillId="25" borderId="18" xfId="0" applyNumberFormat="1" applyFill="1" applyBorder="1"/>
    <xf numFmtId="44" fontId="0" fillId="25" borderId="21" xfId="0" applyNumberFormat="1" applyFill="1" applyBorder="1"/>
    <xf numFmtId="164" fontId="0" fillId="25" borderId="1" xfId="1" applyNumberFormat="1" applyFont="1" applyFill="1" applyBorder="1"/>
    <xf numFmtId="44" fontId="1" fillId="25" borderId="1" xfId="2" applyFont="1" applyFill="1" applyBorder="1"/>
    <xf numFmtId="0" fontId="0" fillId="25" borderId="3" xfId="0" applyFill="1" applyBorder="1"/>
    <xf numFmtId="43" fontId="0" fillId="25" borderId="10" xfId="1" applyFont="1" applyFill="1" applyBorder="1" applyAlignment="1"/>
    <xf numFmtId="44" fontId="0" fillId="25" borderId="0" xfId="2" applyFont="1" applyFill="1" applyBorder="1"/>
    <xf numFmtId="43" fontId="0" fillId="25" borderId="0" xfId="1" applyFont="1" applyFill="1" applyBorder="1"/>
    <xf numFmtId="0" fontId="0" fillId="25" borderId="0" xfId="0" applyFill="1"/>
    <xf numFmtId="43" fontId="0" fillId="26" borderId="1" xfId="1" applyFont="1" applyFill="1" applyBorder="1" applyProtection="1">
      <protection locked="0"/>
    </xf>
    <xf numFmtId="0" fontId="0" fillId="26" borderId="1" xfId="0" applyFill="1" applyBorder="1" applyProtection="1">
      <protection locked="0"/>
    </xf>
    <xf numFmtId="44" fontId="0" fillId="26" borderId="1" xfId="2" applyFont="1" applyFill="1" applyBorder="1" applyProtection="1">
      <protection locked="0"/>
    </xf>
    <xf numFmtId="0" fontId="0" fillId="26" borderId="14" xfId="0" applyFill="1" applyBorder="1" applyProtection="1">
      <protection locked="0"/>
    </xf>
    <xf numFmtId="0" fontId="0" fillId="26" borderId="15" xfId="0" applyFill="1" applyBorder="1" applyProtection="1">
      <protection locked="0"/>
    </xf>
    <xf numFmtId="164" fontId="0" fillId="26" borderId="15" xfId="1" applyNumberFormat="1" applyFont="1" applyFill="1" applyBorder="1" applyProtection="1">
      <protection locked="0"/>
    </xf>
    <xf numFmtId="0" fontId="0" fillId="26" borderId="17" xfId="0" applyFill="1" applyBorder="1" applyProtection="1">
      <protection locked="0"/>
    </xf>
    <xf numFmtId="0" fontId="0" fillId="26" borderId="18" xfId="0" applyFill="1" applyBorder="1" applyProtection="1">
      <protection locked="0"/>
    </xf>
    <xf numFmtId="164" fontId="0" fillId="26" borderId="18" xfId="1" applyNumberFormat="1" applyFont="1" applyFill="1" applyBorder="1" applyProtection="1">
      <protection locked="0"/>
    </xf>
    <xf numFmtId="0" fontId="0" fillId="26" borderId="20" xfId="0" applyFill="1" applyBorder="1" applyProtection="1">
      <protection locked="0"/>
    </xf>
    <xf numFmtId="0" fontId="0" fillId="26" borderId="21" xfId="0" applyFill="1" applyBorder="1" applyProtection="1">
      <protection locked="0"/>
    </xf>
    <xf numFmtId="164" fontId="0" fillId="26" borderId="21" xfId="1" applyNumberFormat="1" applyFont="1" applyFill="1" applyBorder="1" applyProtection="1">
      <protection locked="0"/>
    </xf>
    <xf numFmtId="44" fontId="0" fillId="26" borderId="10" xfId="2" applyFont="1" applyFill="1" applyBorder="1" applyAlignment="1" applyProtection="1">
      <protection locked="0"/>
    </xf>
    <xf numFmtId="44" fontId="0" fillId="26" borderId="0" xfId="2" applyFont="1" applyFill="1" applyBorder="1" applyProtection="1">
      <protection locked="0"/>
    </xf>
    <xf numFmtId="0" fontId="0" fillId="18" borderId="10" xfId="0" applyFill="1" applyBorder="1" applyProtection="1">
      <protection locked="0"/>
    </xf>
    <xf numFmtId="44" fontId="0" fillId="18" borderId="10" xfId="2" applyFont="1" applyFill="1" applyBorder="1" applyAlignment="1" applyProtection="1">
      <protection locked="0"/>
    </xf>
    <xf numFmtId="44" fontId="0" fillId="18" borderId="1" xfId="2" applyFont="1" applyFill="1" applyBorder="1" applyProtection="1">
      <protection locked="0"/>
    </xf>
    <xf numFmtId="0" fontId="3" fillId="8" borderId="0" xfId="0" applyFont="1" applyFill="1" applyProtection="1">
      <protection locked="0"/>
    </xf>
    <xf numFmtId="44" fontId="3" fillId="8" borderId="0" xfId="2" applyFont="1" applyFill="1" applyBorder="1"/>
    <xf numFmtId="0" fontId="3" fillId="8" borderId="2" xfId="0" applyFont="1" applyFill="1" applyBorder="1" applyProtection="1">
      <protection locked="0"/>
    </xf>
    <xf numFmtId="44" fontId="3" fillId="8" borderId="2" xfId="2" applyFont="1" applyFill="1" applyBorder="1"/>
    <xf numFmtId="0" fontId="3" fillId="8" borderId="2" xfId="0" applyFont="1" applyFill="1" applyBorder="1"/>
    <xf numFmtId="164" fontId="3" fillId="8" borderId="0" xfId="1" applyNumberFormat="1" applyFont="1" applyFill="1" applyBorder="1" applyProtection="1"/>
    <xf numFmtId="164" fontId="3" fillId="8" borderId="2" xfId="1" applyNumberFormat="1" applyFont="1" applyFill="1" applyBorder="1" applyProtection="1"/>
    <xf numFmtId="0" fontId="3" fillId="5" borderId="0" xfId="0" applyFont="1" applyFill="1"/>
    <xf numFmtId="0" fontId="3" fillId="5" borderId="0" xfId="0" applyFont="1" applyFill="1" applyAlignment="1">
      <alignment horizontal="left"/>
    </xf>
    <xf numFmtId="0" fontId="17" fillId="5" borderId="0" xfId="0" applyFont="1" applyFill="1" applyAlignment="1">
      <alignment horizontal="right"/>
    </xf>
    <xf numFmtId="43" fontId="3" fillId="5" borderId="0" xfId="1" applyFont="1" applyFill="1" applyBorder="1"/>
    <xf numFmtId="43" fontId="34" fillId="5" borderId="0" xfId="0" applyNumberFormat="1" applyFont="1" applyFill="1"/>
    <xf numFmtId="165" fontId="3" fillId="5" borderId="0" xfId="1" applyNumberFormat="1" applyFont="1" applyFill="1" applyBorder="1"/>
    <xf numFmtId="165" fontId="34" fillId="5" borderId="0" xfId="0" applyNumberFormat="1" applyFont="1" applyFill="1"/>
    <xf numFmtId="0" fontId="0" fillId="26" borderId="15" xfId="0" applyFill="1" applyBorder="1" applyAlignment="1" applyProtection="1">
      <alignment wrapText="1"/>
      <protection locked="0"/>
    </xf>
    <xf numFmtId="0" fontId="0" fillId="26" borderId="18" xfId="0" applyFill="1" applyBorder="1" applyAlignment="1" applyProtection="1">
      <alignment wrapText="1"/>
      <protection locked="0"/>
    </xf>
    <xf numFmtId="0" fontId="0" fillId="26" borderId="21" xfId="0" applyFill="1" applyBorder="1" applyAlignment="1" applyProtection="1">
      <alignment wrapText="1"/>
      <protection locked="0"/>
    </xf>
    <xf numFmtId="0" fontId="12" fillId="0" borderId="0" xfId="0" applyFont="1" applyAlignment="1">
      <alignment horizontal="left" vertical="top" wrapText="1"/>
    </xf>
    <xf numFmtId="0" fontId="3" fillId="0" borderId="1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11" fillId="0" borderId="0" xfId="0" applyFont="1"/>
    <xf numFmtId="0" fontId="0" fillId="4" borderId="15" xfId="0" applyFill="1" applyBorder="1" applyAlignment="1" applyProtection="1">
      <alignment horizontal="center"/>
      <protection locked="0"/>
    </xf>
    <xf numFmtId="0" fontId="0" fillId="4" borderId="24"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16" xfId="0"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0" borderId="16"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8" xfId="0" applyFill="1" applyBorder="1" applyAlignment="1" applyProtection="1">
      <alignment horizontal="center" wrapText="1"/>
      <protection locked="0"/>
    </xf>
    <xf numFmtId="0" fontId="0" fillId="4" borderId="21" xfId="0" applyFill="1" applyBorder="1" applyAlignment="1" applyProtection="1">
      <alignment horizontal="center" wrapText="1"/>
      <protection locked="0"/>
    </xf>
    <xf numFmtId="0" fontId="0" fillId="0" borderId="0" xfId="0" applyAlignment="1">
      <alignment vertical="top" wrapText="1"/>
    </xf>
    <xf numFmtId="14" fontId="0" fillId="0" borderId="3" xfId="0" applyNumberFormat="1" applyBorder="1" applyAlignment="1" applyProtection="1">
      <alignment horizontal="left" wrapText="1"/>
      <protection locked="0"/>
    </xf>
    <xf numFmtId="0" fontId="21" fillId="0" borderId="0" xfId="0" applyFont="1"/>
    <xf numFmtId="0" fontId="36" fillId="0" borderId="0" xfId="0" applyFont="1" applyAlignment="1">
      <alignment vertical="top" wrapText="1"/>
    </xf>
    <xf numFmtId="43" fontId="0" fillId="27" borderId="32" xfId="1" applyFont="1" applyFill="1" applyBorder="1"/>
    <xf numFmtId="43" fontId="0" fillId="27" borderId="33" xfId="1" applyFont="1" applyFill="1" applyBorder="1"/>
    <xf numFmtId="0" fontId="0" fillId="6" borderId="3" xfId="0" applyFill="1" applyBorder="1" applyAlignment="1" applyProtection="1">
      <alignment horizontal="center"/>
      <protection locked="0"/>
    </xf>
    <xf numFmtId="0" fontId="3" fillId="8" borderId="2" xfId="0" applyFont="1" applyFill="1" applyBorder="1" applyAlignment="1">
      <alignment horizontal="center" wrapText="1"/>
    </xf>
    <xf numFmtId="0" fontId="0" fillId="0" borderId="3" xfId="0" applyBorder="1" applyAlignment="1" applyProtection="1">
      <alignment horizontal="center"/>
      <protection locked="0"/>
    </xf>
    <xf numFmtId="0" fontId="0" fillId="3" borderId="3" xfId="0" applyFill="1" applyBorder="1" applyAlignment="1">
      <alignment horizontal="center"/>
    </xf>
    <xf numFmtId="0" fontId="3" fillId="27" borderId="2" xfId="0" applyFont="1" applyFill="1" applyBorder="1" applyAlignment="1">
      <alignment horizontal="center" wrapText="1"/>
    </xf>
    <xf numFmtId="0" fontId="0" fillId="27" borderId="3" xfId="0" applyFill="1" applyBorder="1"/>
    <xf numFmtId="164" fontId="37" fillId="0" borderId="0" xfId="1" applyNumberFormat="1" applyFont="1"/>
    <xf numFmtId="0" fontId="37" fillId="0" borderId="0" xfId="0" applyFont="1"/>
    <xf numFmtId="43" fontId="0" fillId="0" borderId="3" xfId="1" applyFont="1" applyBorder="1"/>
    <xf numFmtId="164" fontId="37" fillId="0" borderId="0" xfId="1" applyNumberFormat="1" applyFont="1" applyFill="1" applyBorder="1"/>
    <xf numFmtId="43" fontId="0" fillId="0" borderId="0" xfId="1" applyFont="1" applyAlignment="1">
      <alignment horizontal="right"/>
    </xf>
    <xf numFmtId="0" fontId="3" fillId="27" borderId="3" xfId="0" applyFont="1" applyFill="1" applyBorder="1"/>
    <xf numFmtId="43" fontId="5" fillId="0" borderId="0" xfId="1" applyFont="1" applyFill="1"/>
    <xf numFmtId="164" fontId="0" fillId="6" borderId="3" xfId="1" applyNumberFormat="1" applyFont="1" applyFill="1" applyBorder="1" applyAlignment="1" applyProtection="1">
      <alignment horizontal="center"/>
      <protection locked="0"/>
    </xf>
    <xf numFmtId="164" fontId="3" fillId="5" borderId="0" xfId="1" applyNumberFormat="1" applyFont="1" applyFill="1" applyBorder="1"/>
    <xf numFmtId="44" fontId="0" fillId="3" borderId="34" xfId="2" applyFont="1" applyFill="1" applyBorder="1"/>
    <xf numFmtId="44" fontId="0" fillId="3" borderId="24" xfId="2" applyFont="1" applyFill="1" applyBorder="1"/>
    <xf numFmtId="0" fontId="0" fillId="7" borderId="15" xfId="0" applyFill="1" applyBorder="1" applyAlignment="1" applyProtection="1">
      <alignment horizontal="center" wrapText="1"/>
      <protection locked="0"/>
    </xf>
    <xf numFmtId="0" fontId="0" fillId="7" borderId="15" xfId="0" applyFill="1" applyBorder="1" applyAlignment="1" applyProtection="1">
      <alignment horizontal="center"/>
      <protection locked="0"/>
    </xf>
    <xf numFmtId="0" fontId="0" fillId="7" borderId="18" xfId="0" applyFill="1" applyBorder="1" applyAlignment="1" applyProtection="1">
      <alignment horizontal="center" wrapText="1"/>
      <protection locked="0"/>
    </xf>
    <xf numFmtId="0" fontId="0" fillId="7" borderId="18" xfId="0" applyFill="1" applyBorder="1" applyAlignment="1" applyProtection="1">
      <alignment horizontal="center"/>
      <protection locked="0"/>
    </xf>
    <xf numFmtId="0" fontId="0" fillId="7" borderId="24" xfId="0" applyFill="1" applyBorder="1" applyAlignment="1" applyProtection="1">
      <alignment horizontal="center"/>
      <protection locked="0"/>
    </xf>
    <xf numFmtId="0" fontId="0" fillId="7" borderId="21" xfId="0" applyFill="1" applyBorder="1" applyAlignment="1" applyProtection="1">
      <alignment horizontal="center" wrapText="1"/>
      <protection locked="0"/>
    </xf>
    <xf numFmtId="0" fontId="0" fillId="7" borderId="21"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12" fillId="0" borderId="5" xfId="0" applyFont="1" applyBorder="1" applyAlignment="1">
      <alignment vertical="top"/>
    </xf>
    <xf numFmtId="0" fontId="0" fillId="3" borderId="15" xfId="0" applyFill="1" applyBorder="1" applyAlignment="1">
      <alignment horizontal="center"/>
    </xf>
    <xf numFmtId="0" fontId="0" fillId="3" borderId="18" xfId="0" applyFill="1" applyBorder="1" applyAlignment="1">
      <alignment horizontal="center"/>
    </xf>
    <xf numFmtId="0" fontId="0" fillId="3" borderId="21" xfId="0" applyFill="1" applyBorder="1" applyAlignment="1">
      <alignment horizontal="center"/>
    </xf>
    <xf numFmtId="44" fontId="0" fillId="25" borderId="24" xfId="2" applyFont="1" applyFill="1" applyBorder="1"/>
    <xf numFmtId="44" fontId="0" fillId="25" borderId="34" xfId="2" applyFont="1" applyFill="1" applyBorder="1"/>
    <xf numFmtId="44" fontId="0" fillId="25" borderId="35" xfId="2" applyFont="1" applyFill="1" applyBorder="1"/>
    <xf numFmtId="0" fontId="0" fillId="26" borderId="15" xfId="0" applyFill="1" applyBorder="1" applyAlignment="1" applyProtection="1">
      <alignment horizontal="center"/>
      <protection locked="0"/>
    </xf>
    <xf numFmtId="44" fontId="0" fillId="25" borderId="29" xfId="0" applyNumberFormat="1" applyFill="1" applyBorder="1"/>
    <xf numFmtId="44" fontId="0" fillId="25" borderId="30" xfId="0" applyNumberFormat="1" applyFill="1" applyBorder="1"/>
    <xf numFmtId="44" fontId="0" fillId="25" borderId="31" xfId="0" applyNumberFormat="1" applyFill="1" applyBorder="1"/>
    <xf numFmtId="0" fontId="0" fillId="26" borderId="24" xfId="0" applyFill="1" applyBorder="1" applyAlignment="1" applyProtection="1">
      <alignment horizontal="center"/>
      <protection locked="0"/>
    </xf>
    <xf numFmtId="0" fontId="3" fillId="8" borderId="12" xfId="0" applyFont="1" applyFill="1" applyBorder="1" applyProtection="1">
      <protection locked="0"/>
    </xf>
    <xf numFmtId="44" fontId="0" fillId="25" borderId="37" xfId="2" applyFont="1" applyFill="1" applyBorder="1"/>
    <xf numFmtId="44" fontId="0" fillId="25" borderId="36" xfId="2" applyFont="1" applyFill="1" applyBorder="1"/>
    <xf numFmtId="44" fontId="0" fillId="25" borderId="38" xfId="2" applyFont="1" applyFill="1" applyBorder="1"/>
    <xf numFmtId="0" fontId="0" fillId="25" borderId="39" xfId="0" applyFill="1" applyBorder="1" applyAlignment="1">
      <alignment horizontal="center"/>
    </xf>
    <xf numFmtId="0" fontId="0" fillId="25" borderId="40" xfId="0" applyFill="1" applyBorder="1" applyAlignment="1">
      <alignment horizontal="center"/>
    </xf>
    <xf numFmtId="0" fontId="3" fillId="8" borderId="11" xfId="0" applyFont="1" applyFill="1" applyBorder="1"/>
    <xf numFmtId="14" fontId="0" fillId="26" borderId="15" xfId="1" applyNumberFormat="1" applyFont="1" applyFill="1" applyBorder="1" applyAlignment="1" applyProtection="1">
      <alignment horizontal="center"/>
      <protection locked="0"/>
    </xf>
    <xf numFmtId="14" fontId="0" fillId="26" borderId="18" xfId="1" applyNumberFormat="1" applyFont="1" applyFill="1" applyBorder="1" applyAlignment="1" applyProtection="1">
      <alignment horizontal="center"/>
      <protection locked="0"/>
    </xf>
    <xf numFmtId="14" fontId="0" fillId="26" borderId="21" xfId="1" applyNumberFormat="1" applyFont="1" applyFill="1" applyBorder="1" applyAlignment="1" applyProtection="1">
      <alignment horizontal="center"/>
      <protection locked="0"/>
    </xf>
    <xf numFmtId="0" fontId="3" fillId="0" borderId="6" xfId="0" applyFont="1" applyBorder="1" applyAlignment="1">
      <alignment horizontal="center" wrapText="1"/>
    </xf>
    <xf numFmtId="0" fontId="0" fillId="0" borderId="25" xfId="0" applyBorder="1" applyAlignment="1" applyProtection="1">
      <alignment horizontal="center" wrapText="1"/>
      <protection locked="0"/>
    </xf>
    <xf numFmtId="44" fontId="0" fillId="10" borderId="0" xfId="2" applyFont="1" applyFill="1"/>
    <xf numFmtId="9" fontId="0" fillId="6" borderId="1" xfId="4" applyFont="1" applyFill="1" applyBorder="1" applyProtection="1">
      <protection locked="0"/>
    </xf>
    <xf numFmtId="14" fontId="0" fillId="6" borderId="1" xfId="0" applyNumberFormat="1" applyFill="1" applyBorder="1" applyAlignment="1" applyProtection="1">
      <alignment horizontal="right"/>
      <protection locked="0"/>
    </xf>
    <xf numFmtId="14" fontId="0" fillId="6" borderId="2" xfId="0" applyNumberFormat="1" applyFill="1" applyBorder="1" applyAlignment="1" applyProtection="1">
      <alignment horizontal="right"/>
      <protection locked="0"/>
    </xf>
    <xf numFmtId="0" fontId="3" fillId="11" borderId="0" xfId="0" applyFont="1" applyFill="1"/>
    <xf numFmtId="0" fontId="3" fillId="28" borderId="0" xfId="0" applyFont="1" applyFill="1"/>
    <xf numFmtId="0" fontId="0" fillId="28" borderId="0" xfId="0" applyFill="1"/>
    <xf numFmtId="0" fontId="42" fillId="0" borderId="0" xfId="0" applyFont="1"/>
    <xf numFmtId="0" fontId="0" fillId="4" borderId="41" xfId="0" applyFill="1" applyBorder="1" applyProtection="1">
      <protection locked="0"/>
    </xf>
    <xf numFmtId="0" fontId="0" fillId="4" borderId="42" xfId="0" applyFill="1" applyBorder="1" applyProtection="1">
      <protection locked="0"/>
    </xf>
    <xf numFmtId="44" fontId="0" fillId="0" borderId="1" xfId="0" applyNumberFormat="1" applyBorder="1" applyProtection="1">
      <protection locked="0"/>
    </xf>
    <xf numFmtId="0" fontId="32" fillId="0" borderId="0" xfId="0" applyFont="1" applyAlignment="1" applyProtection="1">
      <alignment vertical="top"/>
      <protection locked="0"/>
    </xf>
    <xf numFmtId="44" fontId="0" fillId="0" borderId="0" xfId="2" applyFont="1" applyFill="1" applyBorder="1" applyProtection="1"/>
    <xf numFmtId="0" fontId="5" fillId="0" borderId="0" xfId="0" applyFont="1" applyAlignment="1">
      <alignment vertical="top"/>
    </xf>
    <xf numFmtId="164" fontId="0" fillId="0" borderId="0" xfId="1" applyNumberFormat="1" applyFont="1" applyBorder="1"/>
    <xf numFmtId="166" fontId="0" fillId="11" borderId="0" xfId="0" applyNumberFormat="1" applyFill="1" applyAlignment="1">
      <alignment horizontal="left"/>
    </xf>
    <xf numFmtId="166" fontId="19" fillId="11" borderId="0" xfId="0" applyNumberFormat="1" applyFont="1" applyFill="1" applyAlignment="1">
      <alignment horizontal="left"/>
    </xf>
    <xf numFmtId="166" fontId="0" fillId="0" borderId="0" xfId="0" applyNumberFormat="1" applyAlignment="1">
      <alignment horizontal="left"/>
    </xf>
    <xf numFmtId="166" fontId="19" fillId="0" borderId="0" xfId="0" applyNumberFormat="1" applyFont="1" applyAlignment="1">
      <alignment horizontal="left"/>
    </xf>
    <xf numFmtId="0" fontId="2" fillId="0" borderId="0" xfId="0" applyFont="1"/>
    <xf numFmtId="0" fontId="45" fillId="0" borderId="0" xfId="0" applyFont="1"/>
    <xf numFmtId="0" fontId="0" fillId="22" borderId="0" xfId="0" applyFill="1" applyAlignment="1">
      <alignment horizontal="center"/>
    </xf>
    <xf numFmtId="0" fontId="0" fillId="23" borderId="0" xfId="0" applyFill="1" applyAlignment="1">
      <alignment horizontal="center"/>
    </xf>
    <xf numFmtId="0" fontId="0" fillId="20" borderId="0" xfId="0" applyFill="1" applyAlignment="1">
      <alignment horizontal="center"/>
    </xf>
    <xf numFmtId="0" fontId="43" fillId="0" borderId="0" xfId="0" applyFont="1" applyAlignment="1">
      <alignment horizontal="left" wrapText="1"/>
    </xf>
    <xf numFmtId="0" fontId="44" fillId="0" borderId="0" xfId="0" applyFont="1" applyAlignment="1">
      <alignment horizontal="left" vertical="top" wrapText="1"/>
    </xf>
    <xf numFmtId="0" fontId="21" fillId="0" borderId="0" xfId="0" applyFont="1" applyAlignment="1">
      <alignment horizontal="center"/>
    </xf>
    <xf numFmtId="0" fontId="0" fillId="0" borderId="0" xfId="0" applyAlignment="1">
      <alignment horizontal="center"/>
    </xf>
    <xf numFmtId="0" fontId="0" fillId="4" borderId="1" xfId="0" applyFill="1" applyBorder="1" applyAlignment="1" applyProtection="1">
      <alignment horizontal="left"/>
      <protection locked="0"/>
    </xf>
    <xf numFmtId="0" fontId="3" fillId="5" borderId="11"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12" xfId="0" applyFont="1" applyFill="1" applyBorder="1" applyAlignment="1">
      <alignment horizontal="center" vertical="top" wrapText="1"/>
    </xf>
    <xf numFmtId="0" fontId="0" fillId="0" borderId="1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4" borderId="1" xfId="0" applyFill="1" applyBorder="1" applyAlignment="1" applyProtection="1">
      <alignment horizontal="center"/>
      <protection locked="0"/>
    </xf>
    <xf numFmtId="14" fontId="0" fillId="4" borderId="1" xfId="0" applyNumberFormat="1" applyFill="1" applyBorder="1" applyAlignment="1" applyProtection="1">
      <alignment horizontal="center"/>
      <protection locked="0"/>
    </xf>
    <xf numFmtId="0" fontId="3" fillId="10" borderId="0" xfId="0" applyFont="1" applyFill="1" applyAlignment="1">
      <alignment horizontal="center"/>
    </xf>
    <xf numFmtId="0" fontId="0" fillId="9" borderId="1" xfId="0" applyFill="1" applyBorder="1" applyAlignment="1" applyProtection="1">
      <alignment horizontal="center"/>
      <protection locked="0"/>
    </xf>
    <xf numFmtId="0" fontId="0" fillId="9" borderId="1" xfId="0" applyFill="1" applyBorder="1" applyAlignment="1" applyProtection="1">
      <alignment horizontal="left"/>
      <protection locked="0"/>
    </xf>
    <xf numFmtId="14" fontId="0" fillId="9" borderId="1" xfId="0" applyNumberFormat="1" applyFill="1" applyBorder="1" applyAlignment="1" applyProtection="1">
      <alignment horizontal="center"/>
      <protection locked="0"/>
    </xf>
    <xf numFmtId="0" fontId="0" fillId="0" borderId="0" xfId="0" applyAlignment="1">
      <alignment horizontal="left" vertical="top" wrapText="1"/>
    </xf>
    <xf numFmtId="0" fontId="36" fillId="0" borderId="5" xfId="0" applyFont="1" applyBorder="1" applyAlignment="1">
      <alignment horizontal="left" vertical="top" wrapText="1"/>
    </xf>
    <xf numFmtId="0" fontId="0" fillId="0" borderId="3" xfId="0" applyBorder="1" applyAlignment="1" applyProtection="1">
      <alignment horizontal="left" vertical="top" wrapText="1"/>
      <protection locked="0"/>
    </xf>
    <xf numFmtId="0" fontId="0" fillId="7" borderId="1" xfId="0" applyFill="1" applyBorder="1" applyAlignment="1" applyProtection="1">
      <alignment horizontal="center"/>
      <protection locked="0"/>
    </xf>
    <xf numFmtId="0" fontId="0" fillId="19" borderId="1" xfId="0" applyFill="1" applyBorder="1" applyAlignment="1" applyProtection="1">
      <alignment horizontal="center"/>
      <protection locked="0"/>
    </xf>
    <xf numFmtId="14" fontId="0" fillId="19" borderId="1" xfId="0" applyNumberFormat="1" applyFill="1" applyBorder="1" applyAlignment="1" applyProtection="1">
      <alignment horizontal="center"/>
      <protection locked="0"/>
    </xf>
    <xf numFmtId="0" fontId="3" fillId="5" borderId="3" xfId="0" applyFont="1" applyFill="1" applyBorder="1" applyAlignment="1">
      <alignment horizontal="center" vertical="top" wrapText="1"/>
    </xf>
    <xf numFmtId="0" fontId="0" fillId="7" borderId="1" xfId="0" applyFill="1" applyBorder="1" applyAlignment="1" applyProtection="1">
      <alignment horizontal="left"/>
      <protection locked="0"/>
    </xf>
    <xf numFmtId="14" fontId="0" fillId="7" borderId="1" xfId="0" applyNumberFormat="1" applyFill="1" applyBorder="1" applyAlignment="1" applyProtection="1">
      <alignment horizontal="center"/>
      <protection locked="0"/>
    </xf>
    <xf numFmtId="0" fontId="0" fillId="0" borderId="3" xfId="0" applyBorder="1" applyAlignment="1" applyProtection="1">
      <alignment horizontal="center" wrapText="1"/>
      <protection locked="0"/>
    </xf>
    <xf numFmtId="0" fontId="0" fillId="26" borderId="1" xfId="0" applyFill="1" applyBorder="1" applyAlignment="1" applyProtection="1">
      <alignment horizontal="center"/>
      <protection locked="0"/>
    </xf>
    <xf numFmtId="14" fontId="0" fillId="26" borderId="1" xfId="0" applyNumberFormat="1" applyFill="1" applyBorder="1" applyAlignment="1" applyProtection="1">
      <alignment horizontal="center"/>
      <protection locked="0"/>
    </xf>
    <xf numFmtId="0" fontId="0" fillId="26" borderId="1" xfId="0" applyFill="1" applyBorder="1" applyAlignment="1" applyProtection="1">
      <alignment horizontal="left"/>
      <protection locked="0"/>
    </xf>
    <xf numFmtId="0" fontId="3" fillId="5" borderId="3" xfId="0" applyFont="1" applyFill="1" applyBorder="1" applyAlignment="1">
      <alignment horizontal="center" wrapText="1"/>
    </xf>
    <xf numFmtId="0" fontId="12" fillId="0" borderId="5" xfId="0" applyFont="1" applyBorder="1" applyAlignment="1">
      <alignment horizontal="left" vertical="top" wrapText="1"/>
    </xf>
    <xf numFmtId="0" fontId="0" fillId="18" borderId="1" xfId="0" applyFill="1" applyBorder="1" applyAlignment="1" applyProtection="1">
      <alignment horizontal="center"/>
      <protection locked="0"/>
    </xf>
    <xf numFmtId="14" fontId="0" fillId="18" borderId="1" xfId="0" applyNumberFormat="1" applyFill="1" applyBorder="1" applyAlignment="1" applyProtection="1">
      <alignment horizontal="center"/>
      <protection locked="0"/>
    </xf>
    <xf numFmtId="0" fontId="0" fillId="6" borderId="1" xfId="0" applyFill="1" applyBorder="1" applyAlignment="1" applyProtection="1">
      <alignment horizontal="left"/>
      <protection locked="0"/>
    </xf>
    <xf numFmtId="0" fontId="0" fillId="6" borderId="1" xfId="0" applyFill="1" applyBorder="1" applyAlignment="1" applyProtection="1">
      <alignment horizontal="center"/>
      <protection locked="0"/>
    </xf>
    <xf numFmtId="0" fontId="27" fillId="0" borderId="0" xfId="0" applyFont="1" applyAlignment="1">
      <alignment horizontal="center"/>
    </xf>
    <xf numFmtId="0" fontId="3" fillId="8" borderId="3" xfId="0" applyFont="1" applyFill="1" applyBorder="1" applyAlignment="1">
      <alignment horizontal="center" wrapText="1"/>
    </xf>
    <xf numFmtId="0" fontId="14" fillId="6" borderId="1" xfId="0" applyFont="1" applyFill="1" applyBorder="1" applyAlignment="1" applyProtection="1">
      <alignment horizontal="center"/>
      <protection locked="0"/>
    </xf>
    <xf numFmtId="0" fontId="0" fillId="6" borderId="11" xfId="0" applyFill="1" applyBorder="1" applyAlignment="1" applyProtection="1">
      <alignment horizontal="center" wrapText="1"/>
      <protection locked="0"/>
    </xf>
    <xf numFmtId="0" fontId="0" fillId="6" borderId="2" xfId="0" applyFill="1" applyBorder="1" applyAlignment="1" applyProtection="1">
      <alignment horizontal="center" wrapText="1"/>
      <protection locked="0"/>
    </xf>
    <xf numFmtId="0" fontId="0" fillId="6" borderId="12" xfId="0" applyFill="1" applyBorder="1" applyAlignment="1" applyProtection="1">
      <alignment horizontal="center" wrapText="1"/>
      <protection locked="0"/>
    </xf>
    <xf numFmtId="0" fontId="0" fillId="6" borderId="3" xfId="0" applyFill="1" applyBorder="1" applyAlignment="1" applyProtection="1">
      <alignment horizontal="center" wrapText="1"/>
      <protection locked="0"/>
    </xf>
    <xf numFmtId="0" fontId="13"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CCE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I$20"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I$19" noThreeD="1"/>
</file>

<file path=xl/ctrlProps/ctrlProp3.xml><?xml version="1.0" encoding="utf-8"?>
<formControlPr xmlns="http://schemas.microsoft.com/office/spreadsheetml/2009/9/main" objectType="CheckBox" fmlaLink="$I$19"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G$13" lockText="1" noThreeD="1"/>
</file>

<file path=xl/ctrlProps/ctrlProp8.xml><?xml version="1.0" encoding="utf-8"?>
<formControlPr xmlns="http://schemas.microsoft.com/office/spreadsheetml/2009/9/main" objectType="CheckBox" fmlaLink="$G$14" lockText="1" noThreeD="1"/>
</file>

<file path=xl/ctrlProps/ctrlProp9.xml><?xml version="1.0" encoding="utf-8"?>
<formControlPr xmlns="http://schemas.microsoft.com/office/spreadsheetml/2009/9/main" objectType="CheckBox" fmlaLink="$G$15"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809625</xdr:colOff>
          <xdr:row>17</xdr:row>
          <xdr:rowOff>66675</xdr:rowOff>
        </xdr:from>
        <xdr:to>
          <xdr:col>9</xdr:col>
          <xdr:colOff>76200</xdr:colOff>
          <xdr:row>19</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809625</xdr:colOff>
          <xdr:row>16</xdr:row>
          <xdr:rowOff>66675</xdr:rowOff>
        </xdr:from>
        <xdr:to>
          <xdr:col>9</xdr:col>
          <xdr:colOff>66675</xdr:colOff>
          <xdr:row>18</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809625</xdr:colOff>
          <xdr:row>16</xdr:row>
          <xdr:rowOff>66675</xdr:rowOff>
        </xdr:from>
        <xdr:to>
          <xdr:col>9</xdr:col>
          <xdr:colOff>123825</xdr:colOff>
          <xdr:row>18</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419100</xdr:colOff>
          <xdr:row>35</xdr:row>
          <xdr:rowOff>200025</xdr:rowOff>
        </xdr:from>
        <xdr:to>
          <xdr:col>5</xdr:col>
          <xdr:colOff>762000</xdr:colOff>
          <xdr:row>37</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36</xdr:row>
          <xdr:rowOff>0</xdr:rowOff>
        </xdr:from>
        <xdr:to>
          <xdr:col>6</xdr:col>
          <xdr:colOff>771525</xdr:colOff>
          <xdr:row>37</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35</xdr:row>
          <xdr:rowOff>200025</xdr:rowOff>
        </xdr:from>
        <xdr:to>
          <xdr:col>7</xdr:col>
          <xdr:colOff>828675</xdr:colOff>
          <xdr:row>37</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11</xdr:row>
          <xdr:rowOff>180975</xdr:rowOff>
        </xdr:from>
        <xdr:to>
          <xdr:col>1</xdr:col>
          <xdr:colOff>952500</xdr:colOff>
          <xdr:row>13</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13</xdr:row>
          <xdr:rowOff>9525</xdr:rowOff>
        </xdr:from>
        <xdr:to>
          <xdr:col>1</xdr:col>
          <xdr:colOff>895350</xdr:colOff>
          <xdr:row>14</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13</xdr:row>
          <xdr:rowOff>190500</xdr:rowOff>
        </xdr:from>
        <xdr:to>
          <xdr:col>1</xdr:col>
          <xdr:colOff>847725</xdr:colOff>
          <xdr:row>14</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102</xdr:row>
          <xdr:rowOff>47625</xdr:rowOff>
        </xdr:from>
        <xdr:to>
          <xdr:col>2</xdr:col>
          <xdr:colOff>85725</xdr:colOff>
          <xdr:row>104</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4</xdr:row>
      <xdr:rowOff>66675</xdr:rowOff>
    </xdr:from>
    <xdr:to>
      <xdr:col>11</xdr:col>
      <xdr:colOff>200026</xdr:colOff>
      <xdr:row>17</xdr:row>
      <xdr:rowOff>161925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40065" t="22030" r="30314" b="23951"/>
        <a:stretch/>
      </xdr:blipFill>
      <xdr:spPr>
        <a:xfrm>
          <a:off x="638176" y="638175"/>
          <a:ext cx="6267450" cy="2571750"/>
        </a:xfrm>
        <a:prstGeom prst="rect">
          <a:avLst/>
        </a:prstGeom>
      </xdr:spPr>
    </xdr:pic>
    <xdr:clientData/>
  </xdr:twoCellAnchor>
  <xdr:twoCellAnchor>
    <xdr:from>
      <xdr:col>0</xdr:col>
      <xdr:colOff>542925</xdr:colOff>
      <xdr:row>8</xdr:row>
      <xdr:rowOff>104775</xdr:rowOff>
    </xdr:from>
    <xdr:to>
      <xdr:col>2</xdr:col>
      <xdr:colOff>390525</xdr:colOff>
      <xdr:row>9</xdr:row>
      <xdr:rowOff>161925</xdr:rowOff>
    </xdr:to>
    <xdr:sp macro="" textlink="">
      <xdr:nvSpPr>
        <xdr:cNvPr id="3" name="Oval 2">
          <a:extLst>
            <a:ext uri="{FF2B5EF4-FFF2-40B4-BE49-F238E27FC236}">
              <a16:creationId xmlns:a16="http://schemas.microsoft.com/office/drawing/2014/main" id="{00000000-0008-0000-0500-000003000000}"/>
            </a:ext>
          </a:extLst>
        </xdr:cNvPr>
        <xdr:cNvSpPr/>
      </xdr:nvSpPr>
      <xdr:spPr>
        <a:xfrm>
          <a:off x="542925" y="1438275"/>
          <a:ext cx="106680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9526</xdr:colOff>
      <xdr:row>25</xdr:row>
      <xdr:rowOff>85724</xdr:rowOff>
    </xdr:from>
    <xdr:to>
      <xdr:col>8</xdr:col>
      <xdr:colOff>409575</xdr:colOff>
      <xdr:row>38</xdr:row>
      <xdr:rowOff>28541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333376" y="4276724"/>
          <a:ext cx="4667249" cy="2419317"/>
        </a:xfrm>
        <a:prstGeom prst="rect">
          <a:avLst/>
        </a:prstGeom>
      </xdr:spPr>
    </xdr:pic>
    <xdr:clientData/>
  </xdr:twoCellAnchor>
  <xdr:twoCellAnchor>
    <xdr:from>
      <xdr:col>7</xdr:col>
      <xdr:colOff>447675</xdr:colOff>
      <xdr:row>26</xdr:row>
      <xdr:rowOff>28575</xdr:rowOff>
    </xdr:from>
    <xdr:to>
      <xdr:col>8</xdr:col>
      <xdr:colOff>561975</xdr:colOff>
      <xdr:row>27</xdr:row>
      <xdr:rowOff>180975</xdr:rowOff>
    </xdr:to>
    <xdr:sp macro="" textlink="">
      <xdr:nvSpPr>
        <xdr:cNvPr id="5" name="Oval 4">
          <a:extLst>
            <a:ext uri="{FF2B5EF4-FFF2-40B4-BE49-F238E27FC236}">
              <a16:creationId xmlns:a16="http://schemas.microsoft.com/office/drawing/2014/main" id="{00000000-0008-0000-0700-000005000000}"/>
            </a:ext>
          </a:extLst>
        </xdr:cNvPr>
        <xdr:cNvSpPr/>
      </xdr:nvSpPr>
      <xdr:spPr>
        <a:xfrm>
          <a:off x="4429125" y="4410075"/>
          <a:ext cx="723900" cy="3429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314325</xdr:colOff>
      <xdr:row>25</xdr:row>
      <xdr:rowOff>85725</xdr:rowOff>
    </xdr:from>
    <xdr:to>
      <xdr:col>15</xdr:col>
      <xdr:colOff>62368</xdr:colOff>
      <xdr:row>38</xdr:row>
      <xdr:rowOff>123825</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a:stretch>
          <a:fillRect/>
        </a:stretch>
      </xdr:blipFill>
      <xdr:spPr>
        <a:xfrm>
          <a:off x="5514975" y="4276725"/>
          <a:ext cx="3405643" cy="2514600"/>
        </a:xfrm>
        <a:prstGeom prst="rect">
          <a:avLst/>
        </a:prstGeom>
      </xdr:spPr>
    </xdr:pic>
    <xdr:clientData/>
  </xdr:twoCellAnchor>
  <xdr:twoCellAnchor>
    <xdr:from>
      <xdr:col>11</xdr:col>
      <xdr:colOff>209550</xdr:colOff>
      <xdr:row>35</xdr:row>
      <xdr:rowOff>0</xdr:rowOff>
    </xdr:from>
    <xdr:to>
      <xdr:col>12</xdr:col>
      <xdr:colOff>323850</xdr:colOff>
      <xdr:row>36</xdr:row>
      <xdr:rowOff>152400</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6629400" y="6096000"/>
          <a:ext cx="723900" cy="3429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omments" Target="../comments5.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opm.gov/policy-data-oversight/pay-leave/salaries-wages/" TargetMode="External"/><Relationship Id="rId1" Type="http://schemas.openxmlformats.org/officeDocument/2006/relationships/hyperlink" Target="https://grants.nih.gov/grants/policy/salcap_summar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33"/>
  <sheetViews>
    <sheetView tabSelected="1" workbookViewId="0">
      <selection activeCell="K13" sqref="K13"/>
    </sheetView>
  </sheetViews>
  <sheetFormatPr defaultRowHeight="15" x14ac:dyDescent="0.25"/>
  <cols>
    <col min="1" max="1" width="4.28515625" customWidth="1"/>
    <col min="2" max="2" width="1.42578125" customWidth="1"/>
    <col min="3" max="3" width="4.28515625" customWidth="1"/>
    <col min="4" max="4" width="27" customWidth="1"/>
    <col min="5" max="5" width="1.7109375" customWidth="1"/>
    <col min="6" max="6" width="23.7109375" customWidth="1"/>
    <col min="8" max="8" width="2.42578125" customWidth="1"/>
    <col min="9" max="9" width="1.5703125" customWidth="1"/>
    <col min="10" max="10" width="18.42578125" customWidth="1"/>
    <col min="11" max="11" width="18.28515625" customWidth="1"/>
    <col min="12" max="13" width="18.7109375" customWidth="1"/>
    <col min="14" max="14" width="22.140625" customWidth="1"/>
  </cols>
  <sheetData>
    <row r="1" spans="1:14" ht="15.75" x14ac:dyDescent="0.25">
      <c r="A1" s="162" t="s">
        <v>407</v>
      </c>
      <c r="B1" s="162"/>
    </row>
    <row r="2" spans="1:14" x14ac:dyDescent="0.25">
      <c r="A2" t="s">
        <v>297</v>
      </c>
    </row>
    <row r="3" spans="1:14" ht="6.75" customHeight="1" x14ac:dyDescent="0.25"/>
    <row r="4" spans="1:14" x14ac:dyDescent="0.25">
      <c r="B4" t="s">
        <v>398</v>
      </c>
      <c r="C4" t="s">
        <v>296</v>
      </c>
      <c r="J4" s="2" t="s">
        <v>460</v>
      </c>
    </row>
    <row r="5" spans="1:14" x14ac:dyDescent="0.25">
      <c r="D5" s="168" t="s">
        <v>450</v>
      </c>
      <c r="F5" s="20" t="s">
        <v>372</v>
      </c>
      <c r="J5" t="s">
        <v>408</v>
      </c>
    </row>
    <row r="6" spans="1:14" x14ac:dyDescent="0.25">
      <c r="D6" s="168" t="s">
        <v>451</v>
      </c>
      <c r="F6" s="20" t="s">
        <v>372</v>
      </c>
    </row>
    <row r="7" spans="1:14" x14ac:dyDescent="0.25">
      <c r="D7" s="191" t="s">
        <v>371</v>
      </c>
      <c r="F7" s="20" t="s">
        <v>397</v>
      </c>
      <c r="J7" t="s">
        <v>514</v>
      </c>
    </row>
    <row r="8" spans="1:14" x14ac:dyDescent="0.25">
      <c r="D8" s="169" t="s">
        <v>293</v>
      </c>
      <c r="F8" s="20" t="s">
        <v>347</v>
      </c>
      <c r="J8" s="194" t="s">
        <v>426</v>
      </c>
      <c r="K8" s="194" t="s">
        <v>404</v>
      </c>
      <c r="L8" s="328" t="s">
        <v>440</v>
      </c>
      <c r="M8" s="194" t="s">
        <v>405</v>
      </c>
      <c r="N8" s="194" t="s">
        <v>406</v>
      </c>
    </row>
    <row r="9" spans="1:14" x14ac:dyDescent="0.25">
      <c r="D9" s="189" t="s">
        <v>220</v>
      </c>
      <c r="F9" s="20" t="s">
        <v>347</v>
      </c>
      <c r="J9" s="341">
        <v>46142</v>
      </c>
      <c r="K9" s="341">
        <v>46143</v>
      </c>
      <c r="L9" s="339">
        <v>46118</v>
      </c>
      <c r="M9" s="341">
        <v>46120</v>
      </c>
      <c r="N9" s="341">
        <v>46125</v>
      </c>
    </row>
    <row r="10" spans="1:14" x14ac:dyDescent="0.25">
      <c r="B10" t="s">
        <v>398</v>
      </c>
      <c r="C10" t="s">
        <v>294</v>
      </c>
      <c r="J10" s="341">
        <v>46173</v>
      </c>
      <c r="K10" s="341">
        <v>46174</v>
      </c>
      <c r="L10" s="339">
        <v>46143</v>
      </c>
      <c r="M10" s="341">
        <v>46147</v>
      </c>
      <c r="N10" s="341">
        <v>46150</v>
      </c>
    </row>
    <row r="11" spans="1:14" x14ac:dyDescent="0.25">
      <c r="B11" t="s">
        <v>398</v>
      </c>
      <c r="C11" t="s">
        <v>295</v>
      </c>
      <c r="J11" s="342">
        <v>46203</v>
      </c>
      <c r="K11" s="342">
        <v>46204</v>
      </c>
      <c r="L11" s="340">
        <v>46175</v>
      </c>
      <c r="M11" s="342">
        <v>46177</v>
      </c>
      <c r="N11" s="342">
        <v>46182</v>
      </c>
    </row>
    <row r="12" spans="1:14" x14ac:dyDescent="0.25">
      <c r="B12" t="s">
        <v>398</v>
      </c>
      <c r="C12" s="180" t="s">
        <v>452</v>
      </c>
      <c r="J12" s="342">
        <v>45869</v>
      </c>
      <c r="K12" s="342">
        <v>46234</v>
      </c>
      <c r="L12" s="340">
        <v>46211</v>
      </c>
      <c r="M12" s="342">
        <v>46214</v>
      </c>
      <c r="N12" s="342">
        <v>46218</v>
      </c>
    </row>
    <row r="13" spans="1:14" x14ac:dyDescent="0.25">
      <c r="J13" s="342">
        <v>46265</v>
      </c>
      <c r="K13" s="342">
        <v>46266</v>
      </c>
      <c r="L13" s="340">
        <v>46237</v>
      </c>
      <c r="M13" s="342">
        <v>46240</v>
      </c>
      <c r="N13" s="342">
        <v>46245</v>
      </c>
    </row>
    <row r="14" spans="1:14" x14ac:dyDescent="0.25">
      <c r="D14" s="345" t="s">
        <v>403</v>
      </c>
      <c r="E14" s="345"/>
      <c r="F14" s="345"/>
      <c r="J14" s="341">
        <v>46295</v>
      </c>
      <c r="K14" s="341">
        <v>46296</v>
      </c>
      <c r="L14" s="339">
        <v>46268</v>
      </c>
      <c r="M14" s="341">
        <v>46272</v>
      </c>
      <c r="N14" s="341">
        <v>46275</v>
      </c>
    </row>
    <row r="15" spans="1:14" x14ac:dyDescent="0.25">
      <c r="D15" s="346" t="s">
        <v>137</v>
      </c>
      <c r="E15" s="346"/>
      <c r="F15" s="346"/>
      <c r="J15" s="341">
        <v>46326</v>
      </c>
      <c r="K15" s="341">
        <v>46326</v>
      </c>
      <c r="L15" s="339">
        <v>46297</v>
      </c>
      <c r="M15" s="341">
        <v>46301</v>
      </c>
      <c r="N15" s="341">
        <v>46304</v>
      </c>
    </row>
    <row r="16" spans="1:14" x14ac:dyDescent="0.25">
      <c r="D16" s="190" t="s">
        <v>368</v>
      </c>
      <c r="E16" s="18"/>
      <c r="F16" s="192" t="s">
        <v>369</v>
      </c>
      <c r="J16" s="341">
        <v>46356</v>
      </c>
      <c r="K16" s="341">
        <v>46357</v>
      </c>
      <c r="L16" s="339">
        <v>46325</v>
      </c>
      <c r="M16" s="341">
        <v>46329</v>
      </c>
      <c r="N16" s="341">
        <v>46332</v>
      </c>
    </row>
    <row r="17" spans="1:14" x14ac:dyDescent="0.25">
      <c r="D17" t="s">
        <v>399</v>
      </c>
      <c r="F17" t="s">
        <v>399</v>
      </c>
    </row>
    <row r="18" spans="1:14" x14ac:dyDescent="0.25">
      <c r="D18" t="s">
        <v>449</v>
      </c>
      <c r="F18" t="s">
        <v>400</v>
      </c>
      <c r="J18" s="348" t="s">
        <v>441</v>
      </c>
      <c r="K18" s="348"/>
      <c r="L18" s="348"/>
      <c r="M18" s="348"/>
      <c r="N18" s="348"/>
    </row>
    <row r="19" spans="1:14" x14ac:dyDescent="0.25">
      <c r="D19" t="s">
        <v>433</v>
      </c>
      <c r="F19" t="s">
        <v>402</v>
      </c>
      <c r="J19" s="348"/>
      <c r="K19" s="348"/>
      <c r="L19" s="348"/>
      <c r="M19" s="348"/>
      <c r="N19" s="348"/>
    </row>
    <row r="20" spans="1:14" x14ac:dyDescent="0.25">
      <c r="D20" t="s">
        <v>434</v>
      </c>
      <c r="F20" t="s">
        <v>434</v>
      </c>
    </row>
    <row r="21" spans="1:14" x14ac:dyDescent="0.25">
      <c r="D21" t="s">
        <v>401</v>
      </c>
      <c r="F21" t="s">
        <v>401</v>
      </c>
      <c r="J21" s="349" t="s">
        <v>462</v>
      </c>
      <c r="K21" s="349"/>
      <c r="L21" s="349"/>
      <c r="M21" s="349"/>
      <c r="N21" s="349"/>
    </row>
    <row r="22" spans="1:14" x14ac:dyDescent="0.25">
      <c r="J22" s="349"/>
      <c r="K22" s="349"/>
      <c r="L22" s="349"/>
      <c r="M22" s="349"/>
      <c r="N22" s="349"/>
    </row>
    <row r="23" spans="1:14" x14ac:dyDescent="0.25">
      <c r="D23" s="347" t="s">
        <v>220</v>
      </c>
      <c r="E23" s="347"/>
      <c r="F23" s="347"/>
    </row>
    <row r="24" spans="1:14" x14ac:dyDescent="0.25">
      <c r="D24" s="188" t="s">
        <v>368</v>
      </c>
      <c r="G24" s="172"/>
      <c r="K24" s="193"/>
    </row>
    <row r="25" spans="1:14" x14ac:dyDescent="0.25">
      <c r="D25" t="s">
        <v>399</v>
      </c>
      <c r="G25" s="172"/>
      <c r="K25" s="193"/>
    </row>
    <row r="26" spans="1:14" x14ac:dyDescent="0.25">
      <c r="A26" s="172"/>
      <c r="B26" s="172"/>
      <c r="C26" s="172"/>
      <c r="D26" t="s">
        <v>449</v>
      </c>
      <c r="E26" s="172"/>
      <c r="F26" s="172"/>
      <c r="G26" s="172"/>
      <c r="K26" s="193"/>
    </row>
    <row r="27" spans="1:14" x14ac:dyDescent="0.25">
      <c r="D27" t="s">
        <v>467</v>
      </c>
      <c r="K27" s="193"/>
    </row>
    <row r="28" spans="1:14" x14ac:dyDescent="0.25">
      <c r="D28" t="s">
        <v>433</v>
      </c>
      <c r="K28" s="193"/>
    </row>
    <row r="29" spans="1:14" x14ac:dyDescent="0.25">
      <c r="D29" t="s">
        <v>434</v>
      </c>
      <c r="F29" s="170"/>
    </row>
    <row r="30" spans="1:14" x14ac:dyDescent="0.25">
      <c r="A30" s="170"/>
      <c r="B30" s="170"/>
      <c r="C30" s="170"/>
      <c r="D30" t="s">
        <v>401</v>
      </c>
    </row>
    <row r="33" spans="1:7" x14ac:dyDescent="0.25">
      <c r="A33" s="170" t="s">
        <v>298</v>
      </c>
      <c r="B33" s="170"/>
      <c r="C33" s="170"/>
      <c r="D33" s="173">
        <v>46099</v>
      </c>
      <c r="F33" s="171" t="s">
        <v>299</v>
      </c>
      <c r="G33" s="170" t="s">
        <v>300</v>
      </c>
    </row>
  </sheetData>
  <sheetProtection algorithmName="SHA-512" hashValue="585XKZVKHBE5GPyoiy08AZmBhgmaeBQF+1IcWvxcpJHZW3TvZuJsipAcIwhOILWRZjlyhSyPHZUPoJ7UH3Snjg==" saltValue="NRHx3oaXJ1cALinjBduzkA==" spinCount="100000" sheet="1" objects="1" scenarios="1"/>
  <mergeCells count="5">
    <mergeCell ref="D14:F14"/>
    <mergeCell ref="D15:F15"/>
    <mergeCell ref="D23:F23"/>
    <mergeCell ref="J18:N19"/>
    <mergeCell ref="J21:N2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249977111117893"/>
    <pageSetUpPr fitToPage="1"/>
  </sheetPr>
  <dimension ref="A1:O108"/>
  <sheetViews>
    <sheetView topLeftCell="A6" zoomScale="80" zoomScaleNormal="80" workbookViewId="0">
      <selection activeCell="D13" sqref="D13"/>
    </sheetView>
  </sheetViews>
  <sheetFormatPr defaultRowHeight="15" x14ac:dyDescent="0.25"/>
  <cols>
    <col min="1" max="1" width="12.5703125" customWidth="1"/>
    <col min="2" max="2" width="37.85546875" customWidth="1"/>
    <col min="3" max="3" width="15" customWidth="1"/>
    <col min="4" max="4" width="16.28515625" customWidth="1"/>
    <col min="5" max="5" width="13.85546875" customWidth="1"/>
    <col min="6" max="6" width="14" customWidth="1"/>
    <col min="7" max="7" width="12.7109375" customWidth="1"/>
    <col min="8" max="8" width="13.140625" customWidth="1"/>
    <col min="9" max="9" width="16.140625" customWidth="1"/>
    <col min="10" max="10" width="17" customWidth="1"/>
    <col min="11" max="11" width="17.140625" customWidth="1"/>
    <col min="12" max="12" width="17" customWidth="1"/>
    <col min="13" max="13" width="17.85546875" customWidth="1"/>
    <col min="14" max="14" width="44" customWidth="1"/>
    <col min="15" max="15" width="13.7109375" customWidth="1"/>
  </cols>
  <sheetData>
    <row r="1" spans="1:14" ht="19.5" customHeight="1" x14ac:dyDescent="0.35">
      <c r="A1" s="350" t="s">
        <v>386</v>
      </c>
      <c r="B1" s="350"/>
      <c r="C1" s="350"/>
      <c r="D1" s="350"/>
      <c r="E1" s="350"/>
      <c r="F1" s="350"/>
      <c r="G1" s="350"/>
      <c r="H1" s="350"/>
      <c r="I1" s="350"/>
      <c r="J1" s="350"/>
      <c r="K1" s="350"/>
      <c r="L1" s="350"/>
      <c r="M1" s="350"/>
      <c r="N1" s="269"/>
    </row>
    <row r="2" spans="1:14" ht="19.5" customHeight="1" x14ac:dyDescent="0.35">
      <c r="A2" s="350" t="s">
        <v>504</v>
      </c>
      <c r="B2" s="350"/>
      <c r="C2" s="350"/>
      <c r="D2" s="350"/>
      <c r="E2" s="350"/>
      <c r="F2" s="350"/>
      <c r="G2" s="350"/>
      <c r="H2" s="350"/>
      <c r="I2" s="350"/>
      <c r="J2" s="350"/>
      <c r="K2" s="350"/>
      <c r="L2" s="350"/>
      <c r="M2" s="350"/>
      <c r="N2" s="269"/>
    </row>
    <row r="3" spans="1:14" ht="14.25" customHeight="1" x14ac:dyDescent="0.25">
      <c r="A3" s="351" t="s">
        <v>384</v>
      </c>
      <c r="B3" s="351"/>
      <c r="C3" s="351"/>
      <c r="D3" s="351"/>
      <c r="E3" s="351"/>
      <c r="F3" s="351"/>
      <c r="G3" s="351"/>
      <c r="H3" s="351"/>
      <c r="I3" s="351"/>
      <c r="J3" s="351"/>
      <c r="K3" s="351"/>
      <c r="L3" s="351"/>
      <c r="M3" s="351"/>
    </row>
    <row r="4" spans="1:14" ht="14.25" customHeight="1" x14ac:dyDescent="0.25">
      <c r="A4" s="351" t="s">
        <v>459</v>
      </c>
      <c r="B4" s="351"/>
      <c r="C4" s="351"/>
      <c r="D4" s="351"/>
      <c r="E4" s="351"/>
      <c r="F4" s="351"/>
      <c r="G4" s="351"/>
      <c r="H4" s="351"/>
      <c r="I4" s="351"/>
      <c r="J4" s="351"/>
      <c r="K4" s="351"/>
      <c r="L4" s="351"/>
      <c r="M4" s="351"/>
    </row>
    <row r="5" spans="1:14" ht="9" customHeight="1" x14ac:dyDescent="0.25"/>
    <row r="6" spans="1:14" ht="19.5" customHeight="1" x14ac:dyDescent="0.25">
      <c r="A6" s="24" t="s">
        <v>1</v>
      </c>
      <c r="B6" s="352"/>
      <c r="C6" s="352"/>
      <c r="D6" s="24" t="s">
        <v>2</v>
      </c>
      <c r="E6" s="352"/>
      <c r="F6" s="352"/>
      <c r="G6" s="352"/>
      <c r="H6" s="24" t="s">
        <v>3</v>
      </c>
      <c r="I6" s="352"/>
      <c r="J6" s="352"/>
      <c r="K6" s="352"/>
    </row>
    <row r="7" spans="1:14" ht="6.75" customHeight="1" x14ac:dyDescent="0.25">
      <c r="A7" s="4"/>
      <c r="B7" s="18"/>
      <c r="C7" s="18"/>
      <c r="E7" s="18"/>
      <c r="F7" s="18"/>
      <c r="G7" s="18"/>
      <c r="I7" s="18"/>
      <c r="J7" s="18"/>
      <c r="K7" s="18"/>
    </row>
    <row r="8" spans="1:14" ht="17.25" customHeight="1" x14ac:dyDescent="0.25">
      <c r="A8" s="24" t="s">
        <v>247</v>
      </c>
      <c r="B8" s="352"/>
      <c r="C8" s="352"/>
      <c r="D8" s="24" t="s">
        <v>245</v>
      </c>
      <c r="E8" s="77"/>
      <c r="F8" s="36" t="str">
        <f>IF(E8="Revision","Revisions require a comment in section 3 explaining the change","")</f>
        <v/>
      </c>
      <c r="H8" s="24" t="s">
        <v>389</v>
      </c>
      <c r="I8" s="359"/>
      <c r="J8" s="359"/>
    </row>
    <row r="9" spans="1:14" ht="6" customHeight="1" x14ac:dyDescent="0.25"/>
    <row r="10" spans="1:14" ht="20.25" customHeight="1" x14ac:dyDescent="0.25">
      <c r="A10" s="34" t="s">
        <v>4</v>
      </c>
    </row>
    <row r="11" spans="1:14" s="34" customFormat="1" ht="20.25" customHeight="1" x14ac:dyDescent="0.25">
      <c r="B11" s="34" t="s">
        <v>42</v>
      </c>
    </row>
    <row r="12" spans="1:14" s="34" customFormat="1" ht="19.5" customHeight="1" x14ac:dyDescent="0.25">
      <c r="B12" s="34" t="s">
        <v>120</v>
      </c>
    </row>
    <row r="13" spans="1:14" s="34" customFormat="1" ht="15.75" customHeight="1" x14ac:dyDescent="0.25">
      <c r="B13" s="34" t="s">
        <v>119</v>
      </c>
      <c r="C13" s="151" t="s">
        <v>497</v>
      </c>
      <c r="D13" s="56">
        <f>Lookup!R4</f>
        <v>0.63160000000000005</v>
      </c>
      <c r="E13" s="151" t="s">
        <v>498</v>
      </c>
      <c r="F13" s="56">
        <f>Lookup!R5</f>
        <v>1.2104999999999999</v>
      </c>
      <c r="G13" s="151" t="s">
        <v>499</v>
      </c>
      <c r="H13" s="56">
        <f>Lookup!R6</f>
        <v>1.1052999999999999</v>
      </c>
      <c r="J13" s="151" t="s">
        <v>500</v>
      </c>
      <c r="K13" s="56">
        <f>Lookup!R7</f>
        <v>0.73680000000000001</v>
      </c>
      <c r="L13" s="156"/>
    </row>
    <row r="14" spans="1:14" s="34" customFormat="1" ht="18" customHeight="1" x14ac:dyDescent="0.25">
      <c r="B14" s="150" t="s">
        <v>225</v>
      </c>
    </row>
    <row r="15" spans="1:14" s="34" customFormat="1" ht="16.5" customHeight="1" x14ac:dyDescent="0.25">
      <c r="B15" s="365" t="s">
        <v>41</v>
      </c>
      <c r="C15" s="365"/>
      <c r="D15" s="365"/>
      <c r="E15" s="365"/>
      <c r="F15" s="365"/>
      <c r="G15" s="365"/>
      <c r="H15" s="365"/>
      <c r="I15" s="365"/>
      <c r="J15" s="365"/>
      <c r="K15" s="365"/>
      <c r="L15" s="365"/>
      <c r="M15" s="365"/>
      <c r="N15" s="267"/>
    </row>
    <row r="16" spans="1:14" ht="7.5" customHeight="1" x14ac:dyDescent="0.25"/>
    <row r="17" spans="1:15" x14ac:dyDescent="0.25">
      <c r="A17" s="131" t="s">
        <v>5</v>
      </c>
      <c r="B17" s="130" t="s">
        <v>6</v>
      </c>
      <c r="C17" s="130"/>
      <c r="D17" s="132" t="s">
        <v>7</v>
      </c>
      <c r="E17" s="130"/>
      <c r="F17" s="130"/>
      <c r="G17" s="130"/>
      <c r="H17" s="130"/>
      <c r="I17" s="130"/>
      <c r="J17" s="130"/>
      <c r="K17" s="130"/>
      <c r="L17" s="130"/>
      <c r="M17" s="130"/>
    </row>
    <row r="18" spans="1:15" ht="7.5" customHeight="1" x14ac:dyDescent="0.25"/>
    <row r="19" spans="1:15" x14ac:dyDescent="0.25">
      <c r="B19" s="4" t="s">
        <v>8</v>
      </c>
      <c r="C19" s="76"/>
      <c r="E19" t="s">
        <v>9</v>
      </c>
      <c r="F19" s="29">
        <f>C19/9</f>
        <v>0</v>
      </c>
      <c r="H19" s="22"/>
      <c r="J19" t="s">
        <v>444</v>
      </c>
    </row>
    <row r="20" spans="1:15" ht="7.5" customHeight="1" x14ac:dyDescent="0.25">
      <c r="I20" s="335" t="b">
        <v>0</v>
      </c>
    </row>
    <row r="21" spans="1:15" x14ac:dyDescent="0.25">
      <c r="B21" t="s">
        <v>501</v>
      </c>
      <c r="E21" s="77"/>
      <c r="H21" s="331" t="str">
        <f>IF(I20=TRUE,"Off-Cycle checks are taxed at the supplement tax rate.  Consult your tax professional for current rates and guidence.","")</f>
        <v/>
      </c>
      <c r="I21" s="331"/>
      <c r="K21" s="22"/>
      <c r="L21" s="22"/>
      <c r="M21" s="22"/>
    </row>
    <row r="22" spans="1:15" x14ac:dyDescent="0.25">
      <c r="D22" s="36" t="str">
        <f>IF(E21="Yes", "JUNE SUMMER SALARY IS NOT ALLOWED FOR NSP PARTICIPANTS","")</f>
        <v/>
      </c>
      <c r="G22" s="336"/>
      <c r="H22" s="22"/>
      <c r="I22" s="331" t="str">
        <f>IF(I20=TRUE,"                Please type your name for confirmation of off-cycle check:","")</f>
        <v/>
      </c>
      <c r="K22" s="22"/>
      <c r="L22" s="22"/>
      <c r="M22" s="334"/>
      <c r="N22" s="22"/>
    </row>
    <row r="23" spans="1:15" ht="5.25" customHeight="1" x14ac:dyDescent="0.25">
      <c r="B23" s="103"/>
    </row>
    <row r="24" spans="1:15" s="1" customFormat="1" ht="52.5" customHeight="1" x14ac:dyDescent="0.25">
      <c r="A24" s="250" t="s">
        <v>442</v>
      </c>
      <c r="B24" s="251" t="s">
        <v>363</v>
      </c>
      <c r="C24" s="251" t="s">
        <v>13</v>
      </c>
      <c r="D24" s="251" t="s">
        <v>48</v>
      </c>
      <c r="E24" s="251" t="s">
        <v>416</v>
      </c>
      <c r="F24" s="251" t="s">
        <v>243</v>
      </c>
      <c r="G24" s="251" t="s">
        <v>43</v>
      </c>
      <c r="H24" s="250" t="s">
        <v>427</v>
      </c>
      <c r="I24" s="251" t="s">
        <v>14</v>
      </c>
      <c r="J24" s="251" t="s">
        <v>430</v>
      </c>
      <c r="K24" s="251" t="s">
        <v>476</v>
      </c>
      <c r="L24" s="251" t="s">
        <v>15</v>
      </c>
      <c r="M24" s="251" t="s">
        <v>477</v>
      </c>
      <c r="N24" s="148" t="s">
        <v>361</v>
      </c>
      <c r="O24" s="252" t="s">
        <v>424</v>
      </c>
    </row>
    <row r="25" spans="1:15" ht="30" customHeight="1" x14ac:dyDescent="0.25">
      <c r="A25" s="332" t="s">
        <v>37</v>
      </c>
      <c r="B25" s="264"/>
      <c r="C25" s="78"/>
      <c r="D25" s="254"/>
      <c r="E25" s="254">
        <v>2026</v>
      </c>
      <c r="F25" s="125">
        <f>IF(D25="NIH",VLOOKUP(E25,Lookup!$K$3:$M$12,3,0),IF(D25="NSF",Lookup!$L$16,IF(D25="NIFA",VLOOKUP(E25,Lookup!$K$23:$M$33,3,0),IF(D25="Other",$C$34,0))))</f>
        <v>0</v>
      </c>
      <c r="G25" s="257" t="s">
        <v>20</v>
      </c>
      <c r="H25" s="41">
        <f>$F$19*C25</f>
        <v>0</v>
      </c>
      <c r="I25" s="42" t="str">
        <f>IF(AND(F25&gt;0,H25&gt;(F25*C25)),"Yes","No")</f>
        <v>No</v>
      </c>
      <c r="J25" s="43">
        <f>IF(G25="Yes",(F25*C25),IF(I25="Yes",H25-L25,H25))</f>
        <v>0</v>
      </c>
      <c r="K25" s="39">
        <f>J25*0.102</f>
        <v>0</v>
      </c>
      <c r="L25" s="39">
        <f>IF(G25="Yes",0,IF(I25="Yes",H25-(F25*C25),0))</f>
        <v>0</v>
      </c>
      <c r="M25" s="288">
        <f>L25*0.102</f>
        <v>0</v>
      </c>
      <c r="N25" s="261"/>
      <c r="O25" s="271">
        <f>IF(G25="Yes",$H25-(J25),"")</f>
        <v>0</v>
      </c>
    </row>
    <row r="26" spans="1:15" ht="30" customHeight="1" x14ac:dyDescent="0.25">
      <c r="A26" s="79"/>
      <c r="B26" s="265"/>
      <c r="C26" s="80"/>
      <c r="D26" s="260"/>
      <c r="E26" s="255">
        <v>2026</v>
      </c>
      <c r="F26" s="40">
        <f>IF(D26="NIH",VLOOKUP(E26,Lookup!$K$3:$M$12,3,0),IF(D26="NSF",Lookup!$L$16,IF(D26="NIFA",VLOOKUP(E26,Lookup!$K$23:$M$33,3,0),IF(D26="Other",$C$34,0))))</f>
        <v>0</v>
      </c>
      <c r="G26" s="258" t="s">
        <v>21</v>
      </c>
      <c r="H26" s="44">
        <f>$F$19*C26</f>
        <v>0</v>
      </c>
      <c r="I26" s="45" t="str">
        <f t="shared" ref="I26:I29" si="0">IF(AND(F26&gt;0,H26&gt;(F26*C26)),"Yes","No")</f>
        <v>No</v>
      </c>
      <c r="J26" s="46">
        <f t="shared" ref="J26:J29" si="1">IF(G26="Yes",(F26*C26),IF(I26="Yes",H26-L26,H26))</f>
        <v>0</v>
      </c>
      <c r="K26" s="40">
        <f>J26*0.102</f>
        <v>0</v>
      </c>
      <c r="L26" s="40">
        <f t="shared" ref="L26:L29" si="2">IF(G26="Yes",0,IF(I26="Yes",H26-(F26*C26),0))</f>
        <v>0</v>
      </c>
      <c r="M26" s="289">
        <f>L26*0.102</f>
        <v>0</v>
      </c>
      <c r="N26" s="262"/>
      <c r="O26" s="272" t="str">
        <f>IF(G26="Yes",$H26-(J26),"")</f>
        <v/>
      </c>
    </row>
    <row r="27" spans="1:15" ht="30" customHeight="1" x14ac:dyDescent="0.25">
      <c r="A27" s="79"/>
      <c r="B27" s="265"/>
      <c r="C27" s="80"/>
      <c r="D27" s="260"/>
      <c r="E27" s="255">
        <v>2026</v>
      </c>
      <c r="F27" s="40">
        <f>IF(D27="NIH",VLOOKUP(E27,Lookup!$K$3:$M$12,3,0),IF(D27="NSF",Lookup!$L$16,IF(D27="NIFA",VLOOKUP(E27,Lookup!$K$23:$M$33,3,0),IF(D27="Other",$C$34,0))))</f>
        <v>0</v>
      </c>
      <c r="G27" s="258" t="s">
        <v>21</v>
      </c>
      <c r="H27" s="44">
        <f t="shared" ref="H27:H29" si="3">$F$19*C27</f>
        <v>0</v>
      </c>
      <c r="I27" s="45" t="str">
        <f t="shared" si="0"/>
        <v>No</v>
      </c>
      <c r="J27" s="46">
        <f t="shared" si="1"/>
        <v>0</v>
      </c>
      <c r="K27" s="40">
        <f t="shared" ref="K27:K29" si="4">J27*0.102</f>
        <v>0</v>
      </c>
      <c r="L27" s="40">
        <f t="shared" si="2"/>
        <v>0</v>
      </c>
      <c r="M27" s="289">
        <f t="shared" ref="M27:M29" si="5">L27*0.102</f>
        <v>0</v>
      </c>
      <c r="N27" s="262"/>
      <c r="O27" s="272" t="str">
        <f t="shared" ref="O27:O29" si="6">IF(G27="Yes",$H27-(J27),"")</f>
        <v/>
      </c>
    </row>
    <row r="28" spans="1:15" ht="30" customHeight="1" x14ac:dyDescent="0.25">
      <c r="A28" s="79"/>
      <c r="B28" s="265"/>
      <c r="C28" s="80"/>
      <c r="D28" s="260"/>
      <c r="E28" s="255">
        <v>2026</v>
      </c>
      <c r="F28" s="40">
        <f>IF(D28="NIH",VLOOKUP(E28,Lookup!$K$3:$M$12,3,0),IF(D28="NSF",Lookup!$L$16,IF(D28="NIFA",VLOOKUP(E28,Lookup!$K$23:$M$33,3,0),IF(D28="Other",$C$34,0))))</f>
        <v>0</v>
      </c>
      <c r="G28" s="258" t="s">
        <v>21</v>
      </c>
      <c r="H28" s="44">
        <f t="shared" si="3"/>
        <v>0</v>
      </c>
      <c r="I28" s="45" t="str">
        <f t="shared" si="0"/>
        <v>No</v>
      </c>
      <c r="J28" s="46">
        <f t="shared" si="1"/>
        <v>0</v>
      </c>
      <c r="K28" s="40">
        <f t="shared" si="4"/>
        <v>0</v>
      </c>
      <c r="L28" s="40">
        <f t="shared" si="2"/>
        <v>0</v>
      </c>
      <c r="M28" s="289">
        <f t="shared" si="5"/>
        <v>0</v>
      </c>
      <c r="N28" s="262"/>
      <c r="O28" s="272" t="str">
        <f t="shared" si="6"/>
        <v/>
      </c>
    </row>
    <row r="29" spans="1:15" ht="30" customHeight="1" x14ac:dyDescent="0.25">
      <c r="A29" s="79"/>
      <c r="B29" s="265"/>
      <c r="C29" s="80"/>
      <c r="D29" s="260"/>
      <c r="E29" s="255">
        <v>2026</v>
      </c>
      <c r="F29" s="40">
        <f>IF(D29="NIH",VLOOKUP(E29,Lookup!$K$3:$M$12,3,0),IF(D29="NSF",Lookup!$L$16,IF(D29="NIFA",VLOOKUP(E29,Lookup!$K$23:$M$33,3,0),IF(D29="Other",$C$34,0))))</f>
        <v>0</v>
      </c>
      <c r="G29" s="258" t="s">
        <v>21</v>
      </c>
      <c r="H29" s="44">
        <f t="shared" si="3"/>
        <v>0</v>
      </c>
      <c r="I29" s="45" t="str">
        <f t="shared" si="0"/>
        <v>No</v>
      </c>
      <c r="J29" s="46">
        <f t="shared" si="1"/>
        <v>0</v>
      </c>
      <c r="K29" s="40">
        <f t="shared" si="4"/>
        <v>0</v>
      </c>
      <c r="L29" s="40">
        <f t="shared" si="2"/>
        <v>0</v>
      </c>
      <c r="M29" s="289">
        <f t="shared" si="5"/>
        <v>0</v>
      </c>
      <c r="N29" s="262"/>
      <c r="O29" s="272" t="str">
        <f t="shared" si="6"/>
        <v/>
      </c>
    </row>
    <row r="30" spans="1:15" s="2" customFormat="1" ht="18" customHeight="1" x14ac:dyDescent="0.25">
      <c r="A30" s="234" t="s">
        <v>217</v>
      </c>
      <c r="B30" s="234"/>
      <c r="C30" s="238">
        <f>SUM(C25:C29)</f>
        <v>0</v>
      </c>
      <c r="D30" s="234"/>
      <c r="E30" s="234"/>
      <c r="F30" s="235"/>
      <c r="G30" s="234"/>
      <c r="H30" s="235">
        <f>SUM(H25:H29)</f>
        <v>0</v>
      </c>
      <c r="I30" s="236"/>
      <c r="J30" s="235">
        <f>SUM(J25:J29)</f>
        <v>0</v>
      </c>
      <c r="K30" s="235">
        <f>SUM(K25:K29)</f>
        <v>0</v>
      </c>
      <c r="L30" s="235">
        <f>SUM(L25:L29)</f>
        <v>0</v>
      </c>
      <c r="M30" s="235">
        <f>SUM(M25:M29)</f>
        <v>0</v>
      </c>
      <c r="N30" s="234"/>
      <c r="O30" s="234"/>
    </row>
    <row r="31" spans="1:15" ht="23.25" customHeight="1" x14ac:dyDescent="0.25">
      <c r="A31" s="366" t="s">
        <v>502</v>
      </c>
      <c r="B31" s="366"/>
      <c r="C31" s="366"/>
      <c r="D31" s="366"/>
      <c r="E31" s="366"/>
      <c r="F31" s="366"/>
      <c r="G31" s="366"/>
      <c r="H31" s="366"/>
      <c r="I31" s="366"/>
      <c r="J31" s="366"/>
      <c r="K31" s="366"/>
      <c r="L31" s="366"/>
      <c r="M31" s="366"/>
      <c r="N31" s="270"/>
    </row>
    <row r="32" spans="1:15" ht="18.75" customHeight="1" x14ac:dyDescent="0.25">
      <c r="A32" s="253" t="s">
        <v>428</v>
      </c>
      <c r="B32" s="249"/>
      <c r="C32" s="249"/>
      <c r="D32" s="249"/>
      <c r="E32" s="249"/>
      <c r="F32" s="249"/>
      <c r="G32" s="249"/>
      <c r="H32" s="249"/>
      <c r="I32" s="249"/>
      <c r="J32" s="249"/>
      <c r="K32" s="249"/>
      <c r="L32" s="249"/>
      <c r="M32" s="249"/>
      <c r="N32" s="249"/>
    </row>
    <row r="33" spans="1:14" ht="10.5" customHeight="1" x14ac:dyDescent="0.25">
      <c r="A33" s="253"/>
      <c r="B33" s="249"/>
      <c r="C33" s="249"/>
      <c r="D33" s="249"/>
      <c r="E33" s="249"/>
      <c r="F33" s="249"/>
      <c r="G33" s="249"/>
      <c r="H33" s="249"/>
      <c r="I33" s="249"/>
      <c r="J33" s="249"/>
      <c r="K33" s="249"/>
      <c r="L33" s="249"/>
      <c r="M33" s="249"/>
      <c r="N33" s="249"/>
    </row>
    <row r="34" spans="1:14" x14ac:dyDescent="0.25">
      <c r="A34" s="23" t="s">
        <v>50</v>
      </c>
      <c r="B34" s="21"/>
      <c r="C34" s="76"/>
    </row>
    <row r="35" spans="1:14" ht="7.5" customHeight="1" x14ac:dyDescent="0.25"/>
    <row r="36" spans="1:14" x14ac:dyDescent="0.25">
      <c r="B36" t="s">
        <v>16</v>
      </c>
      <c r="C36" s="77"/>
      <c r="D36" s="4" t="s">
        <v>387</v>
      </c>
      <c r="E36" t="s">
        <v>388</v>
      </c>
      <c r="G36" s="76"/>
      <c r="J36" s="4" t="s">
        <v>410</v>
      </c>
      <c r="K36" s="31" t="str">
        <f>IFERROR(G36/G22,"0")</f>
        <v>0</v>
      </c>
    </row>
    <row r="37" spans="1:14" ht="7.5" customHeight="1" x14ac:dyDescent="0.25"/>
    <row r="38" spans="1:14" x14ac:dyDescent="0.25">
      <c r="B38" t="s">
        <v>503</v>
      </c>
      <c r="J38" s="77"/>
      <c r="L38" s="3"/>
    </row>
    <row r="39" spans="1:14" ht="7.5" customHeight="1" x14ac:dyDescent="0.25"/>
    <row r="40" spans="1:14" x14ac:dyDescent="0.25">
      <c r="B40" t="s">
        <v>17</v>
      </c>
      <c r="E40" s="77"/>
    </row>
    <row r="41" spans="1:14" ht="7.5" customHeight="1" x14ac:dyDescent="0.25"/>
    <row r="42" spans="1:14" ht="15.75" customHeight="1" x14ac:dyDescent="0.25">
      <c r="B42" t="s">
        <v>392</v>
      </c>
    </row>
    <row r="43" spans="1:14" ht="7.5" customHeight="1" x14ac:dyDescent="0.25"/>
    <row r="44" spans="1:14" ht="21.75" customHeight="1" x14ac:dyDescent="0.25">
      <c r="A44" t="s">
        <v>18</v>
      </c>
      <c r="C44" s="359"/>
      <c r="D44" s="359"/>
      <c r="E44" s="359"/>
      <c r="F44" s="359"/>
      <c r="G44" s="359"/>
      <c r="I44" s="360"/>
      <c r="J44" s="360"/>
    </row>
    <row r="45" spans="1:14" ht="15" customHeight="1" x14ac:dyDescent="0.25">
      <c r="C45" s="19"/>
      <c r="D45" s="26" t="s">
        <v>285</v>
      </c>
      <c r="J45" s="26" t="s">
        <v>65</v>
      </c>
    </row>
    <row r="46" spans="1:14" ht="15" customHeight="1" x14ac:dyDescent="0.25">
      <c r="C46" s="20" t="s">
        <v>290</v>
      </c>
      <c r="D46" s="26"/>
      <c r="J46" s="26"/>
    </row>
    <row r="47" spans="1:14" ht="10.5" customHeight="1" x14ac:dyDescent="0.25">
      <c r="C47" s="19"/>
    </row>
    <row r="48" spans="1:14" x14ac:dyDescent="0.25">
      <c r="A48" s="131" t="s">
        <v>19</v>
      </c>
      <c r="B48" s="130" t="s">
        <v>107</v>
      </c>
      <c r="C48" s="130"/>
      <c r="D48" s="130"/>
      <c r="E48" s="130"/>
      <c r="F48" s="130"/>
      <c r="G48" s="130"/>
      <c r="H48" s="130"/>
      <c r="I48" s="130"/>
      <c r="J48" s="130"/>
      <c r="K48" s="130"/>
      <c r="L48" s="130"/>
      <c r="M48" s="130"/>
    </row>
    <row r="49" spans="1:13" ht="7.5" customHeight="1" x14ac:dyDescent="0.25"/>
    <row r="50" spans="1:13" x14ac:dyDescent="0.25">
      <c r="A50" s="122" t="s">
        <v>113</v>
      </c>
      <c r="B50" s="123"/>
      <c r="C50" s="123"/>
      <c r="D50" s="123"/>
      <c r="E50" s="123"/>
      <c r="F50" s="123"/>
      <c r="G50" s="123"/>
      <c r="H50" s="123"/>
      <c r="I50" s="123"/>
      <c r="J50" s="123"/>
      <c r="K50" s="124"/>
    </row>
    <row r="51" spans="1:13" x14ac:dyDescent="0.25">
      <c r="A51" s="7"/>
      <c r="B51" t="s">
        <v>59</v>
      </c>
      <c r="C51" s="4" t="s">
        <v>60</v>
      </c>
      <c r="D51" s="31">
        <f>SUMIF(D25:D29,"NSF",C25:C29)+SUMIF('Summer Salary CNAS JUL-SEP'!D28:D37,"NSF",'Summer Salary CNAS JUL-SEP'!C28:C37)</f>
        <v>0</v>
      </c>
      <c r="F51" s="4" t="s">
        <v>61</v>
      </c>
      <c r="G51" s="73">
        <f>SUMIF(D25:D29,"NSF",H25:H29)+SUMIF('Summer Salary CNAS JUL-SEP'!D28:D37,"NSF",'Summer Salary CNAS JUL-SEP'!H28:H37)</f>
        <v>0</v>
      </c>
      <c r="K51" s="8"/>
    </row>
    <row r="52" spans="1:13" ht="7.5" customHeight="1" x14ac:dyDescent="0.25">
      <c r="A52" s="7"/>
      <c r="K52" s="8"/>
    </row>
    <row r="53" spans="1:13" x14ac:dyDescent="0.25">
      <c r="A53" s="7"/>
      <c r="B53" t="s">
        <v>57</v>
      </c>
      <c r="I53" s="359"/>
      <c r="J53" s="359"/>
      <c r="K53" s="8"/>
    </row>
    <row r="54" spans="1:13" ht="7.5" customHeight="1" x14ac:dyDescent="0.25">
      <c r="A54" s="7"/>
      <c r="K54" s="8"/>
    </row>
    <row r="55" spans="1:13" x14ac:dyDescent="0.25">
      <c r="A55" s="7"/>
      <c r="B55" t="s">
        <v>62</v>
      </c>
      <c r="F55" s="4" t="s">
        <v>102</v>
      </c>
      <c r="G55" s="76">
        <v>0</v>
      </c>
      <c r="J55" s="4" t="s">
        <v>103</v>
      </c>
      <c r="K55" s="82"/>
    </row>
    <row r="56" spans="1:13" ht="7.5" customHeight="1" x14ac:dyDescent="0.25">
      <c r="A56" s="7"/>
      <c r="K56" s="8"/>
    </row>
    <row r="57" spans="1:13" x14ac:dyDescent="0.25">
      <c r="A57" s="7"/>
      <c r="F57" s="4" t="s">
        <v>105</v>
      </c>
      <c r="G57" s="31">
        <f>G51+G55</f>
        <v>0</v>
      </c>
      <c r="J57" s="4" t="s">
        <v>104</v>
      </c>
      <c r="K57" s="72">
        <f>K55+D51</f>
        <v>0</v>
      </c>
      <c r="M57" s="33"/>
    </row>
    <row r="58" spans="1:13" x14ac:dyDescent="0.25">
      <c r="A58" s="7"/>
      <c r="K58" s="8"/>
    </row>
    <row r="59" spans="1:13" x14ac:dyDescent="0.25">
      <c r="A59" s="7"/>
      <c r="B59" t="s">
        <v>106</v>
      </c>
      <c r="G59" s="59" t="str">
        <f>IF(OR(K57&gt;2,G57&gt;Lookup!L16+0.01),"YES, OVER CAP","No")</f>
        <v>No</v>
      </c>
      <c r="K59" s="8"/>
    </row>
    <row r="60" spans="1:13" x14ac:dyDescent="0.25">
      <c r="A60" s="9"/>
      <c r="B60" s="10" t="s">
        <v>58</v>
      </c>
      <c r="C60" s="10"/>
      <c r="D60" s="10"/>
      <c r="E60" s="10"/>
      <c r="F60" s="10"/>
      <c r="G60" s="10"/>
      <c r="H60" s="10"/>
      <c r="I60" s="10"/>
      <c r="J60" s="10"/>
      <c r="K60" s="11"/>
    </row>
    <row r="61" spans="1:13" ht="9.75" customHeight="1" x14ac:dyDescent="0.25"/>
    <row r="62" spans="1:13" x14ac:dyDescent="0.25">
      <c r="A62" s="122" t="s">
        <v>114</v>
      </c>
      <c r="B62" s="123"/>
      <c r="C62" s="123"/>
      <c r="D62" s="123"/>
      <c r="E62" s="123"/>
      <c r="F62" s="123"/>
      <c r="G62" s="124"/>
    </row>
    <row r="63" spans="1:13" x14ac:dyDescent="0.25">
      <c r="A63" s="7"/>
      <c r="C63" s="2" t="s">
        <v>11</v>
      </c>
      <c r="D63" s="2" t="s">
        <v>108</v>
      </c>
      <c r="E63" s="2" t="s">
        <v>110</v>
      </c>
      <c r="F63" s="2" t="s">
        <v>109</v>
      </c>
      <c r="G63" s="52" t="s">
        <v>111</v>
      </c>
    </row>
    <row r="64" spans="1:13" x14ac:dyDescent="0.25">
      <c r="A64" s="7"/>
      <c r="B64" s="130" t="s">
        <v>112</v>
      </c>
      <c r="C64" t="s">
        <v>37</v>
      </c>
      <c r="D64" s="14">
        <f>SUMIFS($J$25:$J$29,$A$25:$A$29,C64,$D$25:$D$29,"NIH")</f>
        <v>0</v>
      </c>
      <c r="E64" s="12">
        <f>SUMIFS($C$25:$C$29,$A$25:$A$29,C64,$D$25:$D$29,"NIH")</f>
        <v>0</v>
      </c>
      <c r="F64" s="14">
        <f>E64*$B$65</f>
        <v>0</v>
      </c>
      <c r="G64" s="37" t="str">
        <f>IF(F64&lt;D64,"OVER CAP",IF(E64&gt;1,"OVER CAP",""))</f>
        <v/>
      </c>
    </row>
    <row r="65" spans="1:7" x14ac:dyDescent="0.25">
      <c r="A65" s="7"/>
      <c r="B65" s="177">
        <f>Lookup!M2</f>
        <v>19000</v>
      </c>
      <c r="C65" t="s">
        <v>38</v>
      </c>
      <c r="D65" s="14">
        <f>SUMIFS('Summer Salary CNAS JUL-SEP'!$J$28:$J$37,'Summer Salary CNAS JUL-SEP'!$A$28:$A$37,C65,'Summer Salary CNAS JUL-SEP'!$D$28:$D$37,"NIH")</f>
        <v>0</v>
      </c>
      <c r="E65" s="12">
        <f>SUMIFS('Summer Salary CNAS JUL-SEP'!$C$28:$C$37,'Summer Salary CNAS JUL-SEP'!$A$28:$A$37,C65,'Summer Salary CNAS JUL-SEP'!$D$28:$D$37,"NIH")</f>
        <v>0</v>
      </c>
      <c r="F65" s="14">
        <f>E65*$B$65</f>
        <v>0</v>
      </c>
      <c r="G65" s="37" t="str">
        <f t="shared" ref="G65:G67" si="7">IF(F65&lt;D65,"OVER CAP",IF(E65&gt;1,"OVER CAP",""))</f>
        <v/>
      </c>
    </row>
    <row r="66" spans="1:7" x14ac:dyDescent="0.25">
      <c r="A66" s="7"/>
      <c r="C66" t="s">
        <v>39</v>
      </c>
      <c r="D66" s="14">
        <f>SUMIFS('Summer Salary CNAS JUL-SEP'!$J$28:$J$37,'Summer Salary CNAS JUL-SEP'!$A$28:$A$37,C66,'Summer Salary CNAS JUL-SEP'!$D$28:$D$37,"NIH")</f>
        <v>0</v>
      </c>
      <c r="E66" s="12">
        <f>SUMIFS('Summer Salary CNAS JUL-SEP'!$C$28:$C$37,'Summer Salary CNAS JUL-SEP'!$A$28:$A$37,C66,'Summer Salary CNAS JUL-SEP'!$D$28:$D$37,"NIH")</f>
        <v>0</v>
      </c>
      <c r="F66" s="14">
        <f>E66*$B$65</f>
        <v>0</v>
      </c>
      <c r="G66" s="37" t="str">
        <f t="shared" si="7"/>
        <v/>
      </c>
    </row>
    <row r="67" spans="1:7" x14ac:dyDescent="0.25">
      <c r="A67" s="9"/>
      <c r="B67" s="10"/>
      <c r="C67" s="10" t="s">
        <v>40</v>
      </c>
      <c r="D67" s="5">
        <f>SUMIFS('Summer Salary CNAS JUL-SEP'!$J$28:$J$37,'Summer Salary CNAS JUL-SEP'!$A$28:$A$37,C67,'Summer Salary CNAS JUL-SEP'!$D$28:$D$37,"NIH")</f>
        <v>0</v>
      </c>
      <c r="E67" s="13">
        <f>SUMIFS('Summer Salary CNAS JUL-SEP'!$C$28:$C$37,'Summer Salary CNAS JUL-SEP'!$A$28:$A$37,C67,'Summer Salary CNAS JUL-SEP'!$D$28:$D$37,"NIH")</f>
        <v>0</v>
      </c>
      <c r="F67" s="5">
        <f>E67*$B$65</f>
        <v>0</v>
      </c>
      <c r="G67" s="38" t="str">
        <f t="shared" si="7"/>
        <v/>
      </c>
    </row>
    <row r="68" spans="1:7" ht="6.75" customHeight="1" x14ac:dyDescent="0.25"/>
    <row r="69" spans="1:7" ht="15" customHeight="1" x14ac:dyDescent="0.25">
      <c r="A69" s="122" t="s">
        <v>239</v>
      </c>
      <c r="B69" s="123"/>
      <c r="C69" s="123"/>
      <c r="D69" s="123"/>
      <c r="E69" s="123"/>
      <c r="F69" s="123"/>
      <c r="G69" s="124"/>
    </row>
    <row r="70" spans="1:7" ht="15" customHeight="1" x14ac:dyDescent="0.25">
      <c r="A70" s="7"/>
      <c r="C70" s="2" t="s">
        <v>11</v>
      </c>
      <c r="D70" s="2" t="s">
        <v>108</v>
      </c>
      <c r="E70" s="2" t="s">
        <v>110</v>
      </c>
      <c r="F70" s="2" t="s">
        <v>109</v>
      </c>
      <c r="G70" s="52" t="s">
        <v>111</v>
      </c>
    </row>
    <row r="71" spans="1:7" ht="15" customHeight="1" x14ac:dyDescent="0.25">
      <c r="A71" s="7"/>
      <c r="B71" s="130" t="s">
        <v>240</v>
      </c>
      <c r="C71" t="s">
        <v>37</v>
      </c>
      <c r="D71" s="14">
        <f>SUMIFS($J$25:$J$29,$A$25:$A$29,C71,$D$25:$D$29,"NIFA")</f>
        <v>0</v>
      </c>
      <c r="E71" s="12">
        <f>SUMIFS($C$25:$C$29,$A$25:$A$29,C71,$D$25:$D$29,"NIFA")</f>
        <v>0</v>
      </c>
      <c r="F71" s="14">
        <f>E71*$B$72</f>
        <v>0</v>
      </c>
      <c r="G71" s="37" t="str">
        <f>IF(F71&lt;D71,"OVER CAP",IF(E71&gt;1,"OVER CAP",""))</f>
        <v/>
      </c>
    </row>
    <row r="72" spans="1:7" ht="15" customHeight="1" x14ac:dyDescent="0.25">
      <c r="A72" s="7"/>
      <c r="B72" s="177">
        <f>Lookup!M23</f>
        <v>16433.333333333332</v>
      </c>
      <c r="C72" t="s">
        <v>38</v>
      </c>
      <c r="D72" s="14">
        <f>SUMIFS('Summer Salary CNAS JUL-SEP'!$J$28:$J$37,'Summer Salary CNAS JUL-SEP'!$A$28:$A$37,C72,'Summer Salary CNAS JUL-SEP'!$D$28:$D$37,"NIFA")</f>
        <v>0</v>
      </c>
      <c r="E72" s="12">
        <f>SUMIFS('Summer Salary CNAS JUL-SEP'!$C$28:$C$37,'Summer Salary CNAS JUL-SEP'!$A$28:$A$37,C72,'Summer Salary CNAS JUL-SEP'!$D$28:$D$37,"NIFA")</f>
        <v>0</v>
      </c>
      <c r="F72" s="14">
        <f>E72*$B$72</f>
        <v>0</v>
      </c>
      <c r="G72" s="37" t="str">
        <f t="shared" ref="G72:G74" si="8">IF(F72&lt;D72,"OVER CAP",IF(E72&gt;1,"OVER CAP",""))</f>
        <v/>
      </c>
    </row>
    <row r="73" spans="1:7" ht="15" customHeight="1" x14ac:dyDescent="0.25">
      <c r="A73" s="7"/>
      <c r="C73" t="s">
        <v>39</v>
      </c>
      <c r="D73" s="14">
        <f>SUMIFS('Summer Salary CNAS JUL-SEP'!$J$28:$J$37,'Summer Salary CNAS JUL-SEP'!$A$28:$A$37,C73,'Summer Salary CNAS JUL-SEP'!$D$28:$D$37,"NIFA")</f>
        <v>0</v>
      </c>
      <c r="E73" s="12">
        <f>SUMIFS('Summer Salary CNAS JUL-SEP'!$C$28:$C$37,'Summer Salary CNAS JUL-SEP'!$A$28:$A$37,C73,'Summer Salary CNAS JUL-SEP'!$D$28:$D$37,"NIFA")</f>
        <v>0</v>
      </c>
      <c r="F73" s="14">
        <f>E73*$B$72</f>
        <v>0</v>
      </c>
      <c r="G73" s="37" t="str">
        <f t="shared" si="8"/>
        <v/>
      </c>
    </row>
    <row r="74" spans="1:7" ht="15" customHeight="1" x14ac:dyDescent="0.25">
      <c r="A74" s="9"/>
      <c r="B74" s="10"/>
      <c r="C74" s="10" t="s">
        <v>40</v>
      </c>
      <c r="D74" s="5">
        <f>SUMIFS('Summer Salary CNAS JUL-SEP'!$J$28:$J$37,'Summer Salary CNAS JUL-SEP'!$A$28:$A$37,C74,'Summer Salary CNAS JUL-SEP'!$D$28:$D$37,"NIFA")</f>
        <v>0</v>
      </c>
      <c r="E74" s="13">
        <f>SUMIFS('Summer Salary CNAS JUL-SEP'!$C$28:$C$37,'Summer Salary CNAS JUL-SEP'!$A$28:$A$37,C74,'Summer Salary CNAS JUL-SEP'!$D$28:$D$37,"NIFA")</f>
        <v>0</v>
      </c>
      <c r="F74" s="5">
        <f>E74*$B$72</f>
        <v>0</v>
      </c>
      <c r="G74" s="38" t="str">
        <f t="shared" si="8"/>
        <v/>
      </c>
    </row>
    <row r="75" spans="1:7" ht="6.75" customHeight="1" x14ac:dyDescent="0.25"/>
    <row r="76" spans="1:7" x14ac:dyDescent="0.25">
      <c r="A76" s="122" t="s">
        <v>115</v>
      </c>
      <c r="B76" s="123"/>
      <c r="C76" s="123"/>
      <c r="D76" s="123"/>
      <c r="E76" s="123"/>
      <c r="F76" s="123"/>
      <c r="G76" s="124"/>
    </row>
    <row r="77" spans="1:7" x14ac:dyDescent="0.25">
      <c r="A77" s="7"/>
      <c r="B77" t="s">
        <v>11</v>
      </c>
      <c r="C77" t="s">
        <v>116</v>
      </c>
      <c r="D77" t="s">
        <v>118</v>
      </c>
      <c r="E77" s="107" t="s">
        <v>230</v>
      </c>
      <c r="G77" s="8"/>
    </row>
    <row r="78" spans="1:7" x14ac:dyDescent="0.25">
      <c r="A78" s="7"/>
      <c r="B78" t="s">
        <v>37</v>
      </c>
      <c r="C78" s="338">
        <f>SUMIF($A$25:$A$29,B78,C25:$C$29)</f>
        <v>0</v>
      </c>
      <c r="D78" s="36" t="str">
        <f>IF(C78&gt;1,"OVER CAP","")</f>
        <v/>
      </c>
      <c r="E78" s="108" t="str">
        <f>IF(C78&gt;D13,"OVER CAP","")</f>
        <v/>
      </c>
      <c r="G78" s="8"/>
    </row>
    <row r="79" spans="1:7" x14ac:dyDescent="0.25">
      <c r="A79" s="7"/>
      <c r="B79" t="s">
        <v>38</v>
      </c>
      <c r="C79" s="338">
        <f>SUMIF('Summer Salary CNAS JUL-SEP'!$A$28:$A$37,B79,'Summer Salary CNAS JUL-SEP'!$C$28:$C$37)</f>
        <v>0</v>
      </c>
      <c r="D79" s="36" t="str">
        <f t="shared" ref="D79:D82" si="9">IF(C79&gt;1,"OVER CAP","")</f>
        <v/>
      </c>
      <c r="E79" s="108" t="str">
        <f>IF(C79&gt;F13,"OVER CAP","")</f>
        <v/>
      </c>
      <c r="G79" s="8"/>
    </row>
    <row r="80" spans="1:7" x14ac:dyDescent="0.25">
      <c r="A80" s="7"/>
      <c r="B80" t="s">
        <v>39</v>
      </c>
      <c r="C80" s="338">
        <f>SUMIF('Summer Salary CNAS JUL-SEP'!$A$28:$A$37,B80,'Summer Salary CNAS JUL-SEP'!$C$28:$C$37)</f>
        <v>0</v>
      </c>
      <c r="D80" s="36" t="str">
        <f>IF(C80&gt;1,"OVER CAP","")</f>
        <v/>
      </c>
      <c r="E80" s="108" t="str">
        <f>IF(C80&gt;H13,"OVER CAP","")</f>
        <v/>
      </c>
      <c r="G80" s="8"/>
    </row>
    <row r="81" spans="1:13" x14ac:dyDescent="0.25">
      <c r="A81" s="7"/>
      <c r="B81" t="s">
        <v>40</v>
      </c>
      <c r="C81" s="338">
        <f>SUMIF('Summer Salary CNAS JUL-SEP'!$A$28:$A$37,B81,'Summer Salary CNAS JUL-SEP'!$C$28:$C$37)</f>
        <v>0</v>
      </c>
      <c r="D81" s="36" t="str">
        <f>IF(C81&gt;1,"OVER CAP","")</f>
        <v/>
      </c>
      <c r="E81" s="108" t="str">
        <f>IF(C81&gt;K13,"OVER CAP","")</f>
        <v/>
      </c>
      <c r="G81" s="8"/>
    </row>
    <row r="82" spans="1:13" x14ac:dyDescent="0.25">
      <c r="A82" s="7"/>
      <c r="B82" t="s">
        <v>117</v>
      </c>
      <c r="C82" s="338">
        <f>SUMIF($A$25:$A$29,"June",C25:$C$29)+SUMIF('Summer Salary CNAS JUL-SEP'!$A$28:$A$37,"September",'Summer Salary CNAS JUL-SEP'!$C$28:$C$37)</f>
        <v>0</v>
      </c>
      <c r="D82" s="36" t="str">
        <f t="shared" si="9"/>
        <v/>
      </c>
      <c r="E82" s="108"/>
      <c r="G82" s="8"/>
    </row>
    <row r="83" spans="1:13" x14ac:dyDescent="0.25">
      <c r="B83" t="s">
        <v>409</v>
      </c>
      <c r="C83" s="338">
        <f>SUM(C25:C29)+SUM('Summer Salary CNAS JUL-SEP'!C28:C37)+K36</f>
        <v>0</v>
      </c>
      <c r="D83" s="36" t="str">
        <f>IF(C83&gt;3,"OVER CAP","")</f>
        <v/>
      </c>
      <c r="E83" s="108"/>
      <c r="G83" s="8"/>
    </row>
    <row r="84" spans="1:13" x14ac:dyDescent="0.25">
      <c r="A84" s="105" t="s">
        <v>231</v>
      </c>
      <c r="C84" s="12"/>
      <c r="D84" s="36"/>
      <c r="E84" s="106"/>
      <c r="G84" s="8"/>
    </row>
    <row r="85" spans="1:13" x14ac:dyDescent="0.25">
      <c r="A85" s="9"/>
      <c r="B85" s="109" t="s">
        <v>229</v>
      </c>
      <c r="C85" s="110"/>
      <c r="D85" s="55"/>
      <c r="E85" s="10"/>
      <c r="F85" s="10"/>
      <c r="G85" s="11"/>
    </row>
    <row r="87" spans="1:13" x14ac:dyDescent="0.25">
      <c r="A87" s="131" t="s">
        <v>63</v>
      </c>
      <c r="B87" s="130" t="s">
        <v>260</v>
      </c>
      <c r="C87" s="130"/>
      <c r="D87" s="130"/>
      <c r="E87" s="130"/>
      <c r="F87" s="130"/>
      <c r="G87" s="130"/>
      <c r="H87" s="130"/>
      <c r="I87" s="130"/>
      <c r="J87" s="130"/>
      <c r="K87" s="130"/>
      <c r="L87" s="130"/>
      <c r="M87" s="130"/>
    </row>
    <row r="88" spans="1:13" ht="8.25" customHeight="1" x14ac:dyDescent="0.25"/>
    <row r="89" spans="1:13" ht="52.5" customHeight="1" x14ac:dyDescent="0.25">
      <c r="A89" s="133" t="s">
        <v>246</v>
      </c>
      <c r="B89" s="356"/>
      <c r="C89" s="357"/>
      <c r="D89" s="357"/>
      <c r="E89" s="357"/>
      <c r="F89" s="357"/>
      <c r="G89" s="357"/>
      <c r="H89" s="357"/>
      <c r="I89" s="357"/>
      <c r="J89" s="357"/>
      <c r="K89" s="357"/>
      <c r="L89" s="357"/>
      <c r="M89" s="358"/>
    </row>
    <row r="90" spans="1:13" ht="8.25" customHeight="1" x14ac:dyDescent="0.25"/>
    <row r="91" spans="1:13" ht="25.5" customHeight="1" x14ac:dyDescent="0.25">
      <c r="B91" s="4" t="s">
        <v>64</v>
      </c>
      <c r="C91" s="359"/>
      <c r="D91" s="359"/>
      <c r="E91" s="359"/>
      <c r="F91" s="359"/>
      <c r="G91" s="359"/>
      <c r="I91" s="360"/>
      <c r="J91" s="360"/>
    </row>
    <row r="92" spans="1:13" x14ac:dyDescent="0.25">
      <c r="D92" s="26" t="s">
        <v>261</v>
      </c>
      <c r="J92" s="26" t="s">
        <v>65</v>
      </c>
    </row>
    <row r="93" spans="1:13" ht="5.25" customHeight="1" x14ac:dyDescent="0.25">
      <c r="A93" s="27"/>
      <c r="B93" s="27"/>
      <c r="C93" s="27"/>
      <c r="D93" s="27"/>
      <c r="E93" s="27"/>
      <c r="F93" s="27"/>
      <c r="G93" s="27"/>
      <c r="H93" s="27"/>
      <c r="I93" s="27"/>
      <c r="J93" s="27"/>
      <c r="K93" s="27"/>
      <c r="L93" s="27"/>
      <c r="M93" s="27"/>
    </row>
    <row r="94" spans="1:13" ht="5.25" customHeight="1" x14ac:dyDescent="0.25"/>
    <row r="95" spans="1:13" x14ac:dyDescent="0.25">
      <c r="A95" s="361" t="s">
        <v>66</v>
      </c>
      <c r="B95" s="361"/>
      <c r="C95" s="361"/>
      <c r="D95" s="361"/>
      <c r="E95" s="361"/>
      <c r="F95" s="361"/>
      <c r="G95" s="361"/>
      <c r="H95" s="361"/>
      <c r="I95" s="361"/>
      <c r="J95" s="361"/>
      <c r="K95" s="361"/>
      <c r="L95" s="361"/>
      <c r="M95" s="361"/>
    </row>
    <row r="96" spans="1:13" x14ac:dyDescent="0.25">
      <c r="A96" t="s">
        <v>67</v>
      </c>
      <c r="B96" s="187">
        <f>I8</f>
        <v>0</v>
      </c>
      <c r="C96" t="s">
        <v>68</v>
      </c>
      <c r="D96" s="6" t="e">
        <f>VLOOKUP(I6,Lookup!$E$2:$G$26,3,0)</f>
        <v>#N/A</v>
      </c>
      <c r="E96" t="s">
        <v>69</v>
      </c>
      <c r="F96" s="83" t="s">
        <v>71</v>
      </c>
      <c r="H96" s="4" t="s">
        <v>70</v>
      </c>
      <c r="I96" s="362"/>
      <c r="J96" s="362"/>
      <c r="K96" s="4" t="s">
        <v>302</v>
      </c>
      <c r="L96" s="174">
        <f>VLOOKUP(F96,Lookup!$H$2:$I$26,2,0)</f>
        <v>500420</v>
      </c>
    </row>
    <row r="97" spans="1:13" ht="7.5" customHeight="1" x14ac:dyDescent="0.25"/>
    <row r="98" spans="1:13" x14ac:dyDescent="0.25">
      <c r="B98" s="4" t="s">
        <v>97</v>
      </c>
      <c r="C98" s="363"/>
      <c r="D98" s="363"/>
      <c r="E98" s="363"/>
      <c r="F98" s="363"/>
      <c r="G98" s="4" t="s">
        <v>65</v>
      </c>
      <c r="H98" s="364"/>
      <c r="I98" s="364"/>
      <c r="J98" s="364"/>
      <c r="M98" s="155"/>
    </row>
    <row r="99" spans="1:13" ht="7.5" customHeight="1" x14ac:dyDescent="0.25">
      <c r="M99" s="155"/>
    </row>
    <row r="100" spans="1:13" x14ac:dyDescent="0.25">
      <c r="B100" s="4" t="s">
        <v>98</v>
      </c>
      <c r="C100" s="363"/>
      <c r="D100" s="363"/>
      <c r="E100" s="363"/>
      <c r="F100" s="363"/>
      <c r="G100" s="4" t="s">
        <v>65</v>
      </c>
      <c r="H100" s="364"/>
      <c r="I100" s="364"/>
      <c r="J100" s="364"/>
      <c r="M100" s="155"/>
    </row>
    <row r="101" spans="1:13" x14ac:dyDescent="0.25">
      <c r="M101" s="285"/>
    </row>
    <row r="102" spans="1:13" ht="15" customHeight="1" x14ac:dyDescent="0.25">
      <c r="A102" s="2" t="s">
        <v>99</v>
      </c>
      <c r="B102" s="28" t="s">
        <v>100</v>
      </c>
      <c r="C102" s="353" t="s">
        <v>101</v>
      </c>
      <c r="D102" s="354"/>
      <c r="E102" s="354"/>
      <c r="F102" s="354"/>
      <c r="G102" s="354"/>
      <c r="H102" s="354"/>
      <c r="I102" s="354"/>
      <c r="J102" s="354"/>
      <c r="K102" s="354"/>
      <c r="L102" s="354"/>
      <c r="M102" s="355"/>
    </row>
    <row r="103" spans="1:13" x14ac:dyDescent="0.25">
      <c r="B103" s="268"/>
      <c r="C103" s="356"/>
      <c r="D103" s="357"/>
      <c r="E103" s="357"/>
      <c r="F103" s="357"/>
      <c r="G103" s="357"/>
      <c r="H103" s="357"/>
      <c r="I103" s="357"/>
      <c r="J103" s="357"/>
      <c r="K103" s="357"/>
      <c r="L103" s="357"/>
      <c r="M103" s="358"/>
    </row>
    <row r="104" spans="1:13" x14ac:dyDescent="0.25">
      <c r="B104" s="268"/>
      <c r="C104" s="356"/>
      <c r="D104" s="357"/>
      <c r="E104" s="357"/>
      <c r="F104" s="357"/>
      <c r="G104" s="357"/>
      <c r="H104" s="357"/>
      <c r="I104" s="357"/>
      <c r="J104" s="357"/>
      <c r="K104" s="357"/>
      <c r="L104" s="357"/>
      <c r="M104" s="358"/>
    </row>
    <row r="105" spans="1:13" x14ac:dyDescent="0.25">
      <c r="B105" s="268"/>
      <c r="C105" s="356"/>
      <c r="D105" s="357"/>
      <c r="E105" s="357"/>
      <c r="F105" s="357"/>
      <c r="G105" s="357"/>
      <c r="H105" s="357"/>
      <c r="I105" s="357"/>
      <c r="J105" s="357"/>
      <c r="K105" s="357"/>
      <c r="L105" s="357"/>
      <c r="M105" s="358"/>
    </row>
    <row r="106" spans="1:13" x14ac:dyDescent="0.25">
      <c r="B106" s="268"/>
      <c r="C106" s="356"/>
      <c r="D106" s="357"/>
      <c r="E106" s="357"/>
      <c r="F106" s="357"/>
      <c r="G106" s="357"/>
      <c r="H106" s="357"/>
      <c r="I106" s="357"/>
      <c r="J106" s="357"/>
      <c r="K106" s="357"/>
      <c r="L106" s="357"/>
      <c r="M106" s="358"/>
    </row>
    <row r="107" spans="1:13" x14ac:dyDescent="0.25">
      <c r="B107" s="268"/>
      <c r="C107" s="356"/>
      <c r="D107" s="357"/>
      <c r="E107" s="357"/>
      <c r="F107" s="357"/>
      <c r="G107" s="357"/>
      <c r="H107" s="357"/>
      <c r="I107" s="357"/>
      <c r="J107" s="357"/>
      <c r="K107" s="357"/>
      <c r="L107" s="357"/>
      <c r="M107" s="358"/>
    </row>
    <row r="108" spans="1:13" x14ac:dyDescent="0.25">
      <c r="B108" s="268"/>
      <c r="C108" s="356"/>
      <c r="D108" s="357"/>
      <c r="E108" s="357"/>
      <c r="F108" s="357"/>
      <c r="G108" s="357"/>
      <c r="H108" s="357"/>
      <c r="I108" s="357"/>
      <c r="J108" s="357"/>
      <c r="K108" s="357"/>
      <c r="L108" s="357"/>
      <c r="M108" s="358"/>
    </row>
  </sheetData>
  <sheetProtection algorithmName="SHA-512" hashValue="19KwQo9yB3HRG5js15S2UbH6zUODMdw2bkE1J1EVTkGucnZ8VXkJPUEE8SriIgvaNiijBdUtNFiFFx333OMkVg==" saltValue="IF4my4JCjOtOu/cPG7FuSw==" spinCount="100000" sheet="1" objects="1" scenarios="1"/>
  <mergeCells count="30">
    <mergeCell ref="C104:M104"/>
    <mergeCell ref="C105:M105"/>
    <mergeCell ref="C106:M106"/>
    <mergeCell ref="C107:M107"/>
    <mergeCell ref="C108:M108"/>
    <mergeCell ref="B8:C8"/>
    <mergeCell ref="I8:J8"/>
    <mergeCell ref="B15:M15"/>
    <mergeCell ref="A31:M31"/>
    <mergeCell ref="C44:G44"/>
    <mergeCell ref="I44:J44"/>
    <mergeCell ref="C102:M102"/>
    <mergeCell ref="C103:M103"/>
    <mergeCell ref="I53:J53"/>
    <mergeCell ref="B89:M89"/>
    <mergeCell ref="C91:G91"/>
    <mergeCell ref="I91:J91"/>
    <mergeCell ref="A95:M95"/>
    <mergeCell ref="I96:J96"/>
    <mergeCell ref="C98:F98"/>
    <mergeCell ref="H98:J98"/>
    <mergeCell ref="C100:F100"/>
    <mergeCell ref="H100:J100"/>
    <mergeCell ref="A1:M1"/>
    <mergeCell ref="A2:M2"/>
    <mergeCell ref="A3:M3"/>
    <mergeCell ref="B6:C6"/>
    <mergeCell ref="E6:G6"/>
    <mergeCell ref="I6:K6"/>
    <mergeCell ref="A4:M4"/>
  </mergeCells>
  <pageMargins left="0.5" right="0.5" top="0.5" bottom="0.5" header="0.5" footer="0.5"/>
  <pageSetup scale="22"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heck Box 5">
              <controlPr locked="0" defaultSize="0" autoFill="0" autoLine="0" autoPict="0">
                <anchor moveWithCells="1">
                  <from>
                    <xdr:col>8</xdr:col>
                    <xdr:colOff>809625</xdr:colOff>
                    <xdr:row>17</xdr:row>
                    <xdr:rowOff>66675</xdr:rowOff>
                  </from>
                  <to>
                    <xdr:col>9</xdr:col>
                    <xdr:colOff>76200</xdr:colOff>
                    <xdr:row>19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1000000}">
          <x14:formula1>
            <xm:f>Lookup!$C$30:$C$44</xm:f>
          </x14:formula1>
          <xm:sqref>E6:G6</xm:sqref>
        </x14:dataValidation>
        <x14:dataValidation type="list" allowBlank="1" showInputMessage="1" showErrorMessage="1" xr:uid="{00000000-0002-0000-0100-000002000000}">
          <x14:formula1>
            <xm:f>Lookup!$A$32:$A$33</xm:f>
          </x14:formula1>
          <xm:sqref>E8</xm:sqref>
        </x14:dataValidation>
        <x14:dataValidation type="list" allowBlank="1" showInputMessage="1" showErrorMessage="1" xr:uid="{00000000-0002-0000-0100-000003000000}">
          <x14:formula1>
            <xm:f>Lookup!$C$1:$C$7</xm:f>
          </x14:formula1>
          <xm:sqref>D25:D29</xm:sqref>
        </x14:dataValidation>
        <x14:dataValidation type="list" allowBlank="1" showInputMessage="1" showErrorMessage="1" xr:uid="{00000000-0002-0000-0100-000004000000}">
          <x14:formula1>
            <xm:f>Lookup!$A$21:$A$25</xm:f>
          </x14:formula1>
          <xm:sqref>F96</xm:sqref>
        </x14:dataValidation>
        <x14:dataValidation type="list" allowBlank="1" showInputMessage="1" showErrorMessage="1" xr:uid="{00000000-0002-0000-0100-000005000000}">
          <x14:formula1>
            <xm:f>Lookup!$A$11:$A$15</xm:f>
          </x14:formula1>
          <xm:sqref>J38</xm:sqref>
        </x14:dataValidation>
        <x14:dataValidation type="list" allowBlank="1" showInputMessage="1" showErrorMessage="1" xr:uid="{00000000-0002-0000-0100-000006000000}">
          <x14:formula1>
            <xm:f>Lookup!$A$1:$A$2</xm:f>
          </x14:formula1>
          <xm:sqref>I53:J53 E21 G25:G29 I96:J96 C36 E40</xm:sqref>
        </x14:dataValidation>
        <x14:dataValidation type="list" allowBlank="1" showInputMessage="1" showErrorMessage="1" xr:uid="{00000000-0002-0000-0100-000007000000}">
          <x14:formula1>
            <xm:f>Lookup!$A$5</xm:f>
          </x14:formula1>
          <xm:sqref>A25:A29</xm:sqref>
        </x14:dataValidation>
        <x14:dataValidation type="list" allowBlank="1" showInputMessage="1" showErrorMessage="1" xr:uid="{00000000-0002-0000-0100-000008000000}">
          <x14:formula1>
            <xm:f>Lookup!$E$2:$E$16</xm:f>
          </x14:formula1>
          <xm:sqref>I6:K6</xm:sqref>
        </x14:dataValidation>
        <x14:dataValidation type="list" allowBlank="1" showInputMessage="1" showErrorMessage="1" xr:uid="{00000000-0002-0000-0100-000009000000}">
          <x14:formula1>
            <xm:f>Lookup!$E$2:$E$26</xm:f>
          </x14:formula1>
          <xm:sqref>I7:K7</xm:sqref>
        </x14:dataValidation>
        <x14:dataValidation type="list" allowBlank="1" showInputMessage="1" showErrorMessage="1" xr:uid="{9536BD68-7D94-4F5B-945C-09633F56E9B6}">
          <x14:formula1>
            <xm:f>Lookup!$K$2:$K$12</xm:f>
          </x14:formula1>
          <xm:sqref>E25:E29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pageSetUpPr fitToPage="1"/>
  </sheetPr>
  <dimension ref="A1:O116"/>
  <sheetViews>
    <sheetView zoomScale="80" zoomScaleNormal="80" workbookViewId="0">
      <selection activeCell="D12" sqref="D12"/>
    </sheetView>
  </sheetViews>
  <sheetFormatPr defaultRowHeight="15" x14ac:dyDescent="0.25"/>
  <cols>
    <col min="1" max="1" width="12.5703125" customWidth="1"/>
    <col min="2" max="2" width="37.85546875" customWidth="1"/>
    <col min="3" max="3" width="15" customWidth="1"/>
    <col min="4" max="4" width="16.28515625" customWidth="1"/>
    <col min="5" max="5" width="13.85546875" customWidth="1"/>
    <col min="6" max="6" width="14" customWidth="1"/>
    <col min="7" max="7" width="12.7109375" customWidth="1"/>
    <col min="8" max="8" width="13.140625" customWidth="1"/>
    <col min="9" max="9" width="16.140625" customWidth="1"/>
    <col min="10" max="10" width="17" customWidth="1"/>
    <col min="11" max="11" width="17.140625" customWidth="1"/>
    <col min="12" max="12" width="17" customWidth="1"/>
    <col min="13" max="13" width="17.85546875" customWidth="1"/>
    <col min="14" max="14" width="44" customWidth="1"/>
    <col min="15" max="15" width="13.7109375" customWidth="1"/>
  </cols>
  <sheetData>
    <row r="1" spans="1:14" ht="19.5" customHeight="1" x14ac:dyDescent="0.35">
      <c r="A1" s="350" t="s">
        <v>386</v>
      </c>
      <c r="B1" s="350"/>
      <c r="C1" s="350"/>
      <c r="D1" s="350"/>
      <c r="E1" s="350"/>
      <c r="F1" s="350"/>
      <c r="G1" s="350"/>
      <c r="H1" s="350"/>
      <c r="I1" s="350"/>
      <c r="J1" s="350"/>
      <c r="K1" s="350"/>
      <c r="L1" s="350"/>
      <c r="M1" s="350"/>
      <c r="N1" s="269"/>
    </row>
    <row r="2" spans="1:14" ht="19.5" customHeight="1" x14ac:dyDescent="0.35">
      <c r="A2" s="350" t="s">
        <v>504</v>
      </c>
      <c r="B2" s="350"/>
      <c r="C2" s="350"/>
      <c r="D2" s="350"/>
      <c r="E2" s="350"/>
      <c r="F2" s="350"/>
      <c r="G2" s="350"/>
      <c r="H2" s="350"/>
      <c r="I2" s="350"/>
      <c r="J2" s="350"/>
      <c r="K2" s="350"/>
      <c r="L2" s="350"/>
      <c r="M2" s="350"/>
      <c r="N2" s="269"/>
    </row>
    <row r="3" spans="1:14" ht="14.25" customHeight="1" x14ac:dyDescent="0.25">
      <c r="A3" s="351" t="s">
        <v>384</v>
      </c>
      <c r="B3" s="351"/>
      <c r="C3" s="351"/>
      <c r="D3" s="351"/>
      <c r="E3" s="351"/>
      <c r="F3" s="351"/>
      <c r="G3" s="351"/>
      <c r="H3" s="351"/>
      <c r="I3" s="351"/>
      <c r="J3" s="351"/>
      <c r="K3" s="351"/>
      <c r="L3" s="351"/>
      <c r="M3" s="351"/>
    </row>
    <row r="4" spans="1:14" ht="9" customHeight="1" x14ac:dyDescent="0.25"/>
    <row r="5" spans="1:14" ht="19.5" customHeight="1" x14ac:dyDescent="0.25">
      <c r="A5" s="24" t="s">
        <v>1</v>
      </c>
      <c r="B5" s="352"/>
      <c r="C5" s="352"/>
      <c r="D5" s="24" t="s">
        <v>2</v>
      </c>
      <c r="E5" s="352"/>
      <c r="F5" s="352"/>
      <c r="G5" s="352"/>
      <c r="H5" s="24" t="s">
        <v>3</v>
      </c>
      <c r="I5" s="352"/>
      <c r="J5" s="352"/>
      <c r="K5" s="352"/>
    </row>
    <row r="6" spans="1:14" ht="6.75" customHeight="1" x14ac:dyDescent="0.25">
      <c r="A6" s="4"/>
      <c r="B6" s="18"/>
      <c r="C6" s="18"/>
      <c r="E6" s="18"/>
      <c r="F6" s="18"/>
      <c r="G6" s="18"/>
      <c r="I6" s="18"/>
      <c r="J6" s="18"/>
      <c r="K6" s="18"/>
    </row>
    <row r="7" spans="1:14" ht="17.25" customHeight="1" x14ac:dyDescent="0.25">
      <c r="A7" s="24" t="s">
        <v>247</v>
      </c>
      <c r="B7" s="352"/>
      <c r="C7" s="352"/>
      <c r="D7" s="24" t="s">
        <v>245</v>
      </c>
      <c r="E7" s="77"/>
      <c r="F7" s="36" t="str">
        <f>IF(E7="Revision","Revisions require a comment in section 3 explaining the change","")</f>
        <v/>
      </c>
      <c r="H7" s="24" t="s">
        <v>389</v>
      </c>
      <c r="I7" s="359"/>
      <c r="J7" s="359"/>
    </row>
    <row r="8" spans="1:14" ht="6" customHeight="1" x14ac:dyDescent="0.25"/>
    <row r="9" spans="1:14" ht="20.25" customHeight="1" x14ac:dyDescent="0.25">
      <c r="A9" s="34" t="s">
        <v>4</v>
      </c>
    </row>
    <row r="10" spans="1:14" s="34" customFormat="1" ht="20.25" customHeight="1" x14ac:dyDescent="0.25">
      <c r="B10" s="34" t="s">
        <v>42</v>
      </c>
    </row>
    <row r="11" spans="1:14" s="34" customFormat="1" ht="19.5" customHeight="1" x14ac:dyDescent="0.25">
      <c r="B11" s="34" t="s">
        <v>120</v>
      </c>
    </row>
    <row r="12" spans="1:14" s="34" customFormat="1" ht="15.75" customHeight="1" x14ac:dyDescent="0.25">
      <c r="B12" s="34" t="s">
        <v>119</v>
      </c>
      <c r="C12" s="151" t="s">
        <v>497</v>
      </c>
      <c r="D12" s="56">
        <f>Lookup!R4</f>
        <v>0.63160000000000005</v>
      </c>
      <c r="E12" s="151" t="s">
        <v>498</v>
      </c>
      <c r="F12" s="56">
        <f>Lookup!R5</f>
        <v>1.2104999999999999</v>
      </c>
      <c r="G12" s="151" t="s">
        <v>499</v>
      </c>
      <c r="H12" s="56">
        <f>Lookup!R6</f>
        <v>1.1052999999999999</v>
      </c>
      <c r="J12" s="151" t="s">
        <v>500</v>
      </c>
      <c r="K12" s="56">
        <f>Lookup!R7</f>
        <v>0.73680000000000001</v>
      </c>
      <c r="L12" s="156"/>
    </row>
    <row r="13" spans="1:14" s="34" customFormat="1" ht="18" customHeight="1" x14ac:dyDescent="0.25">
      <c r="B13" s="150" t="s">
        <v>225</v>
      </c>
    </row>
    <row r="14" spans="1:14" s="34" customFormat="1" ht="16.5" customHeight="1" x14ac:dyDescent="0.25">
      <c r="B14" s="365" t="s">
        <v>41</v>
      </c>
      <c r="C14" s="365"/>
      <c r="D14" s="365"/>
      <c r="E14" s="365"/>
      <c r="F14" s="365"/>
      <c r="G14" s="365"/>
      <c r="H14" s="365"/>
      <c r="I14" s="365"/>
      <c r="J14" s="365"/>
      <c r="K14" s="365"/>
      <c r="L14" s="365"/>
      <c r="M14" s="365"/>
      <c r="N14" s="267"/>
    </row>
    <row r="15" spans="1:14" ht="7.5" customHeight="1" x14ac:dyDescent="0.25"/>
    <row r="16" spans="1:14" x14ac:dyDescent="0.25">
      <c r="A16" s="131" t="s">
        <v>5</v>
      </c>
      <c r="B16" s="130" t="s">
        <v>6</v>
      </c>
      <c r="C16" s="130"/>
      <c r="D16" s="132" t="s">
        <v>7</v>
      </c>
      <c r="E16" s="130"/>
      <c r="F16" s="130"/>
      <c r="G16" s="130"/>
      <c r="H16" s="130"/>
      <c r="I16" s="130"/>
      <c r="J16" s="130"/>
      <c r="K16" s="130"/>
      <c r="L16" s="130"/>
      <c r="M16" s="130"/>
    </row>
    <row r="17" spans="1:15" ht="7.5" customHeight="1" x14ac:dyDescent="0.25"/>
    <row r="18" spans="1:15" x14ac:dyDescent="0.25">
      <c r="B18" s="4" t="s">
        <v>8</v>
      </c>
      <c r="C18" s="76"/>
      <c r="E18" t="s">
        <v>9</v>
      </c>
      <c r="F18" s="29">
        <f>C18/9</f>
        <v>0</v>
      </c>
      <c r="I18" s="98"/>
      <c r="J18" t="s">
        <v>444</v>
      </c>
    </row>
    <row r="19" spans="1:15" ht="7.5" customHeight="1" x14ac:dyDescent="0.25">
      <c r="I19" s="335" t="b">
        <v>0</v>
      </c>
    </row>
    <row r="20" spans="1:15" ht="15.75" x14ac:dyDescent="0.25">
      <c r="B20" s="162" t="s">
        <v>505</v>
      </c>
      <c r="E20" s="77"/>
      <c r="H20" s="331" t="str">
        <f>IF(I19=TRUE,"Off-Cycle checks are taxed at the supplement tax rate.  Consult your tax professional for current rates and guidence.","")</f>
        <v/>
      </c>
      <c r="I20" s="331"/>
      <c r="K20" s="22"/>
      <c r="L20" s="22"/>
      <c r="M20" s="22"/>
    </row>
    <row r="21" spans="1:15" ht="15" customHeight="1" x14ac:dyDescent="0.25">
      <c r="B21" s="344" t="str">
        <f>IF(E20="Yes","Once the M&amp;P is approved, a revised form needs to be submitted","")</f>
        <v/>
      </c>
    </row>
    <row r="22" spans="1:15" ht="4.5" customHeight="1" x14ac:dyDescent="0.25">
      <c r="B22" s="344"/>
    </row>
    <row r="23" spans="1:15" x14ac:dyDescent="0.25">
      <c r="B23" t="s">
        <v>10</v>
      </c>
      <c r="D23" s="76"/>
      <c r="F23" t="s">
        <v>9</v>
      </c>
      <c r="G23" s="29">
        <f>D23/9</f>
        <v>0</v>
      </c>
      <c r="H23" s="22"/>
      <c r="I23" s="331" t="str">
        <f>IF(I19=TRUE,"                Please type your name for confirmation of off-cycle check:","")</f>
        <v/>
      </c>
      <c r="K23" s="22"/>
      <c r="L23" s="22"/>
      <c r="M23" s="334"/>
      <c r="N23" s="22"/>
    </row>
    <row r="24" spans="1:15" ht="15" customHeight="1" x14ac:dyDescent="0.25">
      <c r="B24" s="103" t="s">
        <v>228</v>
      </c>
    </row>
    <row r="25" spans="1:15" ht="15.75" x14ac:dyDescent="0.25">
      <c r="B25" t="s">
        <v>501</v>
      </c>
      <c r="E25" s="77"/>
      <c r="F25" s="32" t="str">
        <f>IF(E25="Yes", "PLEASE USE NSP SUMMER SALARY FORM","")</f>
        <v/>
      </c>
    </row>
    <row r="26" spans="1:15" ht="7.5" customHeight="1" x14ac:dyDescent="0.25"/>
    <row r="27" spans="1:15" s="1" customFormat="1" ht="52.5" customHeight="1" x14ac:dyDescent="0.25">
      <c r="A27" s="250" t="s">
        <v>443</v>
      </c>
      <c r="B27" s="251" t="s">
        <v>363</v>
      </c>
      <c r="C27" s="251" t="s">
        <v>13</v>
      </c>
      <c r="D27" s="251" t="s">
        <v>48</v>
      </c>
      <c r="E27" s="251" t="s">
        <v>416</v>
      </c>
      <c r="F27" s="251" t="s">
        <v>243</v>
      </c>
      <c r="G27" s="251" t="s">
        <v>43</v>
      </c>
      <c r="H27" s="250" t="s">
        <v>427</v>
      </c>
      <c r="I27" s="251" t="s">
        <v>14</v>
      </c>
      <c r="J27" s="251" t="s">
        <v>430</v>
      </c>
      <c r="K27" s="251" t="s">
        <v>476</v>
      </c>
      <c r="L27" s="251" t="s">
        <v>15</v>
      </c>
      <c r="M27" s="251" t="s">
        <v>494</v>
      </c>
      <c r="N27" s="148" t="s">
        <v>361</v>
      </c>
      <c r="O27" s="252" t="s">
        <v>424</v>
      </c>
    </row>
    <row r="28" spans="1:15" ht="30" customHeight="1" x14ac:dyDescent="0.25">
      <c r="A28" s="332"/>
      <c r="B28" s="264"/>
      <c r="C28" s="78"/>
      <c r="D28" s="254"/>
      <c r="E28" s="254">
        <v>2026</v>
      </c>
      <c r="F28" s="125">
        <f>IF(D28="NIH",VLOOKUP(E28,Lookup!$K$3:$M$12,3,0),IF(D28="NSF",Lookup!$L$17,IF(D28="NIFA",VLOOKUP(E28,Lookup!$K$23:$M$33,3,0),IF(D28="Other",$C$42,0))))</f>
        <v>0</v>
      </c>
      <c r="G28" s="257" t="s">
        <v>21</v>
      </c>
      <c r="H28" s="41">
        <f t="shared" ref="H28:H37" si="0">IF(A28="June",$F$18*C28,$G$23*C28)</f>
        <v>0</v>
      </c>
      <c r="I28" s="42" t="str">
        <f t="shared" ref="I28:I37" si="1">IF(AND(F28&gt;0,H28&gt;(F28*C28)),"Yes","No")</f>
        <v>No</v>
      </c>
      <c r="J28" s="43">
        <f t="shared" ref="J28:J37" si="2">IF(G28="Yes",(F28*C28),IF(I28="Yes",H28-L28,H28))</f>
        <v>0</v>
      </c>
      <c r="K28" s="39">
        <f>J28*0.102</f>
        <v>0</v>
      </c>
      <c r="L28" s="39">
        <f t="shared" ref="L28:L37" si="3">IF(G28="Yes",0,IF(I28="Yes",H28-(F28*C28),0))</f>
        <v>0</v>
      </c>
      <c r="M28" s="288">
        <f>L28*0.102</f>
        <v>0</v>
      </c>
      <c r="N28" s="261"/>
      <c r="O28" s="271" t="str">
        <f>IF(G28="Yes",$H28-(J28),"")</f>
        <v/>
      </c>
    </row>
    <row r="29" spans="1:15" ht="30" customHeight="1" x14ac:dyDescent="0.25">
      <c r="A29" s="79"/>
      <c r="B29" s="265"/>
      <c r="C29" s="80"/>
      <c r="D29" s="260"/>
      <c r="E29" s="255">
        <v>2026</v>
      </c>
      <c r="F29" s="40">
        <f>IF(D29="NIH",VLOOKUP(E29,Lookup!$K$3:$M$12,3,0),IF(D29="NSF",Lookup!$L$17,IF(D29="NIFA",VLOOKUP(E29,Lookup!$K$23:$M$33,3,0),IF(D29="Other",$C$42,0))))</f>
        <v>0</v>
      </c>
      <c r="G29" s="258" t="s">
        <v>21</v>
      </c>
      <c r="H29" s="44">
        <f t="shared" si="0"/>
        <v>0</v>
      </c>
      <c r="I29" s="45" t="str">
        <f t="shared" si="1"/>
        <v>No</v>
      </c>
      <c r="J29" s="46">
        <f t="shared" si="2"/>
        <v>0</v>
      </c>
      <c r="K29" s="40">
        <f>J29*0.102</f>
        <v>0</v>
      </c>
      <c r="L29" s="40">
        <f t="shared" si="3"/>
        <v>0</v>
      </c>
      <c r="M29" s="289">
        <f>L29*0.102</f>
        <v>0</v>
      </c>
      <c r="N29" s="262"/>
      <c r="O29" s="272" t="str">
        <f>IF(G29="Yes",$H29-(J29),"")</f>
        <v/>
      </c>
    </row>
    <row r="30" spans="1:15" ht="30" customHeight="1" x14ac:dyDescent="0.25">
      <c r="A30" s="79"/>
      <c r="B30" s="265"/>
      <c r="C30" s="80"/>
      <c r="D30" s="260"/>
      <c r="E30" s="255">
        <v>2026</v>
      </c>
      <c r="F30" s="40">
        <f>IF(D30="NIH",Lookup!$M$3,IF(D30="NSF",Lookup!$L$17,IF(D30="NIFA",Lookup!$M$23,IF(D30="Other",$C$42,0))))</f>
        <v>0</v>
      </c>
      <c r="G30" s="258" t="s">
        <v>21</v>
      </c>
      <c r="H30" s="44">
        <f t="shared" si="0"/>
        <v>0</v>
      </c>
      <c r="I30" s="45" t="str">
        <f t="shared" si="1"/>
        <v>No</v>
      </c>
      <c r="J30" s="46">
        <f t="shared" si="2"/>
        <v>0</v>
      </c>
      <c r="K30" s="40">
        <f t="shared" ref="K30:K37" si="4">J30*0.102</f>
        <v>0</v>
      </c>
      <c r="L30" s="40">
        <f t="shared" si="3"/>
        <v>0</v>
      </c>
      <c r="M30" s="289">
        <f t="shared" ref="M30:M37" si="5">L30*0.102</f>
        <v>0</v>
      </c>
      <c r="N30" s="262"/>
      <c r="O30" s="272" t="str">
        <f t="shared" ref="O30:O37" si="6">IF(G30="Yes",$H30-(J30),"")</f>
        <v/>
      </c>
    </row>
    <row r="31" spans="1:15" ht="30" customHeight="1" x14ac:dyDescent="0.25">
      <c r="A31" s="79"/>
      <c r="B31" s="265"/>
      <c r="C31" s="80"/>
      <c r="D31" s="260"/>
      <c r="E31" s="255">
        <v>2026</v>
      </c>
      <c r="F31" s="40">
        <f>IF(D31="NIH",Lookup!$M$3,IF(D31="NSF",Lookup!$L$17,IF(D31="NIFA",Lookup!$M$23,IF(D31="Other",$C$42,0))))</f>
        <v>0</v>
      </c>
      <c r="G31" s="258" t="s">
        <v>21</v>
      </c>
      <c r="H31" s="44">
        <f t="shared" si="0"/>
        <v>0</v>
      </c>
      <c r="I31" s="45" t="str">
        <f t="shared" si="1"/>
        <v>No</v>
      </c>
      <c r="J31" s="46">
        <f t="shared" si="2"/>
        <v>0</v>
      </c>
      <c r="K31" s="40">
        <f t="shared" si="4"/>
        <v>0</v>
      </c>
      <c r="L31" s="40">
        <f t="shared" si="3"/>
        <v>0</v>
      </c>
      <c r="M31" s="289">
        <f t="shared" si="5"/>
        <v>0</v>
      </c>
      <c r="N31" s="262"/>
      <c r="O31" s="272" t="str">
        <f t="shared" si="6"/>
        <v/>
      </c>
    </row>
    <row r="32" spans="1:15" ht="30" customHeight="1" x14ac:dyDescent="0.25">
      <c r="A32" s="79"/>
      <c r="B32" s="265"/>
      <c r="C32" s="80"/>
      <c r="D32" s="260"/>
      <c r="E32" s="255">
        <v>2026</v>
      </c>
      <c r="F32" s="40">
        <f>IF(D32="NIH",Lookup!$M$3,IF(D32="NSF",Lookup!$L$17,IF(D32="NIFA",Lookup!$M$23,IF(D32="Other",$C$42,0))))</f>
        <v>0</v>
      </c>
      <c r="G32" s="258" t="s">
        <v>21</v>
      </c>
      <c r="H32" s="44">
        <f t="shared" si="0"/>
        <v>0</v>
      </c>
      <c r="I32" s="45" t="str">
        <f t="shared" si="1"/>
        <v>No</v>
      </c>
      <c r="J32" s="46">
        <f t="shared" si="2"/>
        <v>0</v>
      </c>
      <c r="K32" s="40">
        <f t="shared" si="4"/>
        <v>0</v>
      </c>
      <c r="L32" s="40">
        <f t="shared" si="3"/>
        <v>0</v>
      </c>
      <c r="M32" s="289">
        <f t="shared" si="5"/>
        <v>0</v>
      </c>
      <c r="N32" s="262"/>
      <c r="O32" s="272" t="str">
        <f t="shared" si="6"/>
        <v/>
      </c>
    </row>
    <row r="33" spans="1:15" ht="30" customHeight="1" x14ac:dyDescent="0.25">
      <c r="A33" s="79"/>
      <c r="B33" s="265"/>
      <c r="C33" s="80"/>
      <c r="D33" s="260"/>
      <c r="E33" s="255">
        <v>2026</v>
      </c>
      <c r="F33" s="40">
        <f>IF(D33="NIH",Lookup!$M$3,IF(D33="NSF",Lookup!$L$17,IF(D33="NIFA",Lookup!$M$23,IF(D33="Other",$C$42,0))))</f>
        <v>0</v>
      </c>
      <c r="G33" s="258" t="s">
        <v>21</v>
      </c>
      <c r="H33" s="44">
        <f t="shared" si="0"/>
        <v>0</v>
      </c>
      <c r="I33" s="45" t="str">
        <f t="shared" si="1"/>
        <v>No</v>
      </c>
      <c r="J33" s="46">
        <f t="shared" si="2"/>
        <v>0</v>
      </c>
      <c r="K33" s="40">
        <f t="shared" si="4"/>
        <v>0</v>
      </c>
      <c r="L33" s="40">
        <f t="shared" si="3"/>
        <v>0</v>
      </c>
      <c r="M33" s="289">
        <f t="shared" si="5"/>
        <v>0</v>
      </c>
      <c r="N33" s="262"/>
      <c r="O33" s="272" t="str">
        <f t="shared" si="6"/>
        <v/>
      </c>
    </row>
    <row r="34" spans="1:15" ht="30" customHeight="1" x14ac:dyDescent="0.25">
      <c r="A34" s="79"/>
      <c r="B34" s="265"/>
      <c r="C34" s="80"/>
      <c r="D34" s="260"/>
      <c r="E34" s="255">
        <v>2026</v>
      </c>
      <c r="F34" s="40">
        <f>IF(D34="NIH",Lookup!$M$3,IF(D34="NSF",Lookup!$L$17,IF(D34="NIFA",Lookup!$M$23,IF(D34="Other",$C$42,0))))</f>
        <v>0</v>
      </c>
      <c r="G34" s="258" t="s">
        <v>21</v>
      </c>
      <c r="H34" s="44">
        <f t="shared" si="0"/>
        <v>0</v>
      </c>
      <c r="I34" s="45" t="str">
        <f t="shared" si="1"/>
        <v>No</v>
      </c>
      <c r="J34" s="46">
        <f t="shared" si="2"/>
        <v>0</v>
      </c>
      <c r="K34" s="40">
        <f t="shared" si="4"/>
        <v>0</v>
      </c>
      <c r="L34" s="40">
        <f t="shared" si="3"/>
        <v>0</v>
      </c>
      <c r="M34" s="289">
        <f t="shared" si="5"/>
        <v>0</v>
      </c>
      <c r="N34" s="262"/>
      <c r="O34" s="272" t="str">
        <f t="shared" si="6"/>
        <v/>
      </c>
    </row>
    <row r="35" spans="1:15" ht="30" customHeight="1" x14ac:dyDescent="0.25">
      <c r="A35" s="79"/>
      <c r="B35" s="265"/>
      <c r="C35" s="80"/>
      <c r="D35" s="260"/>
      <c r="E35" s="255">
        <v>2026</v>
      </c>
      <c r="F35" s="40">
        <f>IF(D35="NIH",Lookup!$M$3,IF(D35="NSF",Lookup!$L$17,IF(D35="NIFA",Lookup!$M$23,IF(D35="Other",$C$42,0))))</f>
        <v>0</v>
      </c>
      <c r="G35" s="258" t="s">
        <v>21</v>
      </c>
      <c r="H35" s="44">
        <f t="shared" si="0"/>
        <v>0</v>
      </c>
      <c r="I35" s="45" t="str">
        <f t="shared" si="1"/>
        <v>No</v>
      </c>
      <c r="J35" s="46">
        <f t="shared" si="2"/>
        <v>0</v>
      </c>
      <c r="K35" s="40">
        <f t="shared" si="4"/>
        <v>0</v>
      </c>
      <c r="L35" s="40">
        <f t="shared" si="3"/>
        <v>0</v>
      </c>
      <c r="M35" s="289">
        <f t="shared" si="5"/>
        <v>0</v>
      </c>
      <c r="N35" s="262"/>
      <c r="O35" s="272" t="str">
        <f t="shared" si="6"/>
        <v/>
      </c>
    </row>
    <row r="36" spans="1:15" ht="30" customHeight="1" x14ac:dyDescent="0.25">
      <c r="A36" s="79"/>
      <c r="B36" s="265"/>
      <c r="C36" s="80"/>
      <c r="D36" s="260"/>
      <c r="E36" s="255">
        <v>2026</v>
      </c>
      <c r="F36" s="40">
        <f>IF(D36="NIH",Lookup!$M$3,IF(D36="NSF",Lookup!$L$17,IF(D36="NIFA",Lookup!$M$23,IF(D36="Other",$C$42,0))))</f>
        <v>0</v>
      </c>
      <c r="G36" s="258" t="s">
        <v>21</v>
      </c>
      <c r="H36" s="44">
        <f t="shared" si="0"/>
        <v>0</v>
      </c>
      <c r="I36" s="45" t="str">
        <f t="shared" si="1"/>
        <v>No</v>
      </c>
      <c r="J36" s="46">
        <f t="shared" si="2"/>
        <v>0</v>
      </c>
      <c r="K36" s="40">
        <f t="shared" si="4"/>
        <v>0</v>
      </c>
      <c r="L36" s="40">
        <f t="shared" si="3"/>
        <v>0</v>
      </c>
      <c r="M36" s="289">
        <f t="shared" si="5"/>
        <v>0</v>
      </c>
      <c r="N36" s="262"/>
      <c r="O36" s="272" t="str">
        <f t="shared" si="6"/>
        <v/>
      </c>
    </row>
    <row r="37" spans="1:15" ht="30" customHeight="1" x14ac:dyDescent="0.25">
      <c r="A37" s="333"/>
      <c r="B37" s="266"/>
      <c r="C37" s="81"/>
      <c r="D37" s="256"/>
      <c r="E37" s="255">
        <v>2026</v>
      </c>
      <c r="F37" s="40">
        <f>IF(D37="NIH",Lookup!$M$3,IF(D37="NSF",Lookup!$L$17,IF(D37="NIFA",Lookup!$M$23,IF(D37="Other",$C$42,0))))</f>
        <v>0</v>
      </c>
      <c r="G37" s="259" t="s">
        <v>21</v>
      </c>
      <c r="H37" s="47">
        <f t="shared" si="0"/>
        <v>0</v>
      </c>
      <c r="I37" s="48" t="str">
        <f t="shared" si="1"/>
        <v>No</v>
      </c>
      <c r="J37" s="46">
        <f t="shared" si="2"/>
        <v>0</v>
      </c>
      <c r="K37" s="40">
        <f t="shared" si="4"/>
        <v>0</v>
      </c>
      <c r="L37" s="40">
        <f t="shared" si="3"/>
        <v>0</v>
      </c>
      <c r="M37" s="289">
        <f t="shared" si="5"/>
        <v>0</v>
      </c>
      <c r="N37" s="263"/>
      <c r="O37" s="272" t="str">
        <f t="shared" si="6"/>
        <v/>
      </c>
    </row>
    <row r="38" spans="1:15" s="2" customFormat="1" ht="18" customHeight="1" x14ac:dyDescent="0.25">
      <c r="A38" s="234" t="s">
        <v>217</v>
      </c>
      <c r="B38" s="234"/>
      <c r="C38" s="238">
        <f>SUM(C28:C37)</f>
        <v>0</v>
      </c>
      <c r="D38" s="234"/>
      <c r="E38" s="234"/>
      <c r="F38" s="235"/>
      <c r="G38" s="234"/>
      <c r="H38" s="235">
        <f>SUM(H28:H37)</f>
        <v>0</v>
      </c>
      <c r="I38" s="236"/>
      <c r="J38" s="235">
        <f>SUM(J28:J37)</f>
        <v>0</v>
      </c>
      <c r="K38" s="235">
        <f>SUM(K28:K37)</f>
        <v>0</v>
      </c>
      <c r="L38" s="235">
        <f>SUM(L28:L37)</f>
        <v>0</v>
      </c>
      <c r="M38" s="235">
        <f>SUM(M28:M37)</f>
        <v>0</v>
      </c>
      <c r="N38" s="234"/>
      <c r="O38" s="234"/>
    </row>
    <row r="39" spans="1:15" ht="23.25" customHeight="1" x14ac:dyDescent="0.25">
      <c r="A39" s="366" t="s">
        <v>502</v>
      </c>
      <c r="B39" s="366"/>
      <c r="C39" s="366"/>
      <c r="D39" s="366"/>
      <c r="E39" s="366"/>
      <c r="F39" s="366"/>
      <c r="G39" s="366"/>
      <c r="H39" s="366"/>
      <c r="I39" s="366"/>
      <c r="J39" s="366"/>
      <c r="K39" s="366"/>
      <c r="L39" s="366"/>
      <c r="M39" s="366"/>
      <c r="N39" s="270"/>
    </row>
    <row r="40" spans="1:15" ht="18.75" customHeight="1" x14ac:dyDescent="0.25">
      <c r="A40" s="253" t="s">
        <v>428</v>
      </c>
      <c r="B40" s="249"/>
      <c r="C40" s="249"/>
      <c r="D40" s="249"/>
      <c r="E40" s="249"/>
      <c r="F40" s="249"/>
      <c r="G40" s="249"/>
      <c r="H40" s="249"/>
      <c r="I40" s="249"/>
      <c r="J40" s="249"/>
      <c r="K40" s="249"/>
      <c r="L40" s="249"/>
      <c r="M40" s="249"/>
      <c r="N40" s="249"/>
    </row>
    <row r="41" spans="1:15" ht="10.5" customHeight="1" x14ac:dyDescent="0.25">
      <c r="A41" s="253"/>
      <c r="B41" s="249"/>
      <c r="C41" s="249"/>
      <c r="D41" s="249"/>
      <c r="E41" s="249"/>
      <c r="F41" s="249"/>
      <c r="G41" s="249"/>
      <c r="H41" s="249"/>
      <c r="I41" s="249"/>
      <c r="J41" s="249"/>
      <c r="K41" s="249"/>
      <c r="L41" s="249"/>
      <c r="M41" s="249"/>
      <c r="N41" s="249"/>
    </row>
    <row r="42" spans="1:15" x14ac:dyDescent="0.25">
      <c r="A42" s="23" t="s">
        <v>50</v>
      </c>
      <c r="B42" s="21"/>
      <c r="C42" s="76"/>
    </row>
    <row r="43" spans="1:15" ht="7.5" customHeight="1" x14ac:dyDescent="0.25"/>
    <row r="44" spans="1:15" x14ac:dyDescent="0.25">
      <c r="B44" t="s">
        <v>16</v>
      </c>
      <c r="C44" s="77"/>
      <c r="D44" s="4" t="s">
        <v>387</v>
      </c>
      <c r="E44" t="s">
        <v>388</v>
      </c>
      <c r="G44" s="76"/>
      <c r="J44" s="4" t="s">
        <v>410</v>
      </c>
      <c r="K44" s="31" t="str">
        <f>IFERROR(G44/G23,"0")</f>
        <v>0</v>
      </c>
    </row>
    <row r="45" spans="1:15" ht="7.5" customHeight="1" x14ac:dyDescent="0.25"/>
    <row r="46" spans="1:15" x14ac:dyDescent="0.25">
      <c r="B46" t="s">
        <v>506</v>
      </c>
      <c r="J46" s="77"/>
      <c r="L46" s="3"/>
    </row>
    <row r="47" spans="1:15" ht="7.5" customHeight="1" x14ac:dyDescent="0.25"/>
    <row r="48" spans="1:15" x14ac:dyDescent="0.25">
      <c r="B48" t="s">
        <v>17</v>
      </c>
      <c r="E48" s="77"/>
    </row>
    <row r="49" spans="1:13" ht="7.5" customHeight="1" x14ac:dyDescent="0.25"/>
    <row r="50" spans="1:13" ht="15.75" customHeight="1" x14ac:dyDescent="0.25">
      <c r="B50" t="s">
        <v>392</v>
      </c>
    </row>
    <row r="51" spans="1:13" ht="7.5" customHeight="1" x14ac:dyDescent="0.25"/>
    <row r="52" spans="1:13" ht="21.75" customHeight="1" x14ac:dyDescent="0.25">
      <c r="A52" t="s">
        <v>18</v>
      </c>
      <c r="C52" s="359"/>
      <c r="D52" s="359"/>
      <c r="E52" s="359"/>
      <c r="F52" s="359"/>
      <c r="G52" s="359"/>
      <c r="I52" s="360"/>
      <c r="J52" s="360"/>
    </row>
    <row r="53" spans="1:13" ht="15" customHeight="1" x14ac:dyDescent="0.25">
      <c r="C53" s="19"/>
      <c r="D53" s="26" t="s">
        <v>285</v>
      </c>
      <c r="J53" s="26" t="s">
        <v>65</v>
      </c>
    </row>
    <row r="54" spans="1:13" ht="15" customHeight="1" x14ac:dyDescent="0.25">
      <c r="C54" s="20" t="s">
        <v>290</v>
      </c>
      <c r="D54" s="26"/>
      <c r="J54" s="26"/>
    </row>
    <row r="55" spans="1:13" ht="10.5" customHeight="1" x14ac:dyDescent="0.25">
      <c r="C55" s="19"/>
    </row>
    <row r="56" spans="1:13" x14ac:dyDescent="0.25">
      <c r="A56" s="131" t="s">
        <v>19</v>
      </c>
      <c r="B56" s="130" t="s">
        <v>107</v>
      </c>
      <c r="C56" s="130"/>
      <c r="D56" s="130"/>
      <c r="E56" s="130"/>
      <c r="F56" s="130"/>
      <c r="G56" s="130"/>
      <c r="H56" s="130"/>
      <c r="I56" s="130"/>
      <c r="J56" s="130"/>
      <c r="K56" s="130"/>
      <c r="L56" s="130"/>
      <c r="M56" s="130"/>
    </row>
    <row r="57" spans="1:13" ht="7.5" customHeight="1" x14ac:dyDescent="0.25"/>
    <row r="58" spans="1:13" x14ac:dyDescent="0.25">
      <c r="A58" s="122" t="s">
        <v>113</v>
      </c>
      <c r="B58" s="123"/>
      <c r="C58" s="123"/>
      <c r="D58" s="123"/>
      <c r="E58" s="123"/>
      <c r="F58" s="123"/>
      <c r="G58" s="123"/>
      <c r="H58" s="123"/>
      <c r="I58" s="123"/>
      <c r="J58" s="123"/>
      <c r="K58" s="124"/>
    </row>
    <row r="59" spans="1:13" x14ac:dyDescent="0.25">
      <c r="A59" s="7"/>
      <c r="B59" t="s">
        <v>59</v>
      </c>
      <c r="C59" s="4" t="s">
        <v>60</v>
      </c>
      <c r="D59" s="31">
        <f>SUMIF(D28:D37,"NSF",C28:C37)+SUMIF('Summer Salary CNAS JUNE'!D25:D29,"NSF",'Summer Salary CNAS JUNE'!C25:C29)</f>
        <v>0</v>
      </c>
      <c r="F59" s="4" t="s">
        <v>61</v>
      </c>
      <c r="G59" s="73">
        <f>SUMIF(D28:D37,"NSF",H28:H37)+SUMIF('Summer Salary CNAS JUNE'!D25:D29,"NSF",'Summer Salary CNAS JUNE'!H25:H29)</f>
        <v>0</v>
      </c>
      <c r="K59" s="8"/>
    </row>
    <row r="60" spans="1:13" ht="7.5" customHeight="1" x14ac:dyDescent="0.25">
      <c r="A60" s="7"/>
      <c r="K60" s="8"/>
    </row>
    <row r="61" spans="1:13" x14ac:dyDescent="0.25">
      <c r="A61" s="7"/>
      <c r="B61" t="s">
        <v>57</v>
      </c>
      <c r="I61" s="359"/>
      <c r="J61" s="359"/>
      <c r="K61" s="8"/>
    </row>
    <row r="62" spans="1:13" ht="7.5" customHeight="1" x14ac:dyDescent="0.25">
      <c r="A62" s="7"/>
      <c r="K62" s="8"/>
    </row>
    <row r="63" spans="1:13" x14ac:dyDescent="0.25">
      <c r="A63" s="7"/>
      <c r="B63" t="s">
        <v>62</v>
      </c>
      <c r="F63" s="4" t="s">
        <v>102</v>
      </c>
      <c r="G63" s="76">
        <v>0</v>
      </c>
      <c r="J63" s="4" t="s">
        <v>103</v>
      </c>
      <c r="K63" s="82"/>
    </row>
    <row r="64" spans="1:13" ht="7.5" customHeight="1" x14ac:dyDescent="0.25">
      <c r="A64" s="7"/>
      <c r="K64" s="8"/>
    </row>
    <row r="65" spans="1:13" x14ac:dyDescent="0.25">
      <c r="A65" s="7"/>
      <c r="F65" s="4" t="s">
        <v>105</v>
      </c>
      <c r="G65" s="31">
        <f>G59+G63</f>
        <v>0</v>
      </c>
      <c r="J65" s="4" t="s">
        <v>104</v>
      </c>
      <c r="K65" s="72">
        <f>K63+D59</f>
        <v>0</v>
      </c>
      <c r="M65" s="33"/>
    </row>
    <row r="66" spans="1:13" x14ac:dyDescent="0.25">
      <c r="A66" s="7"/>
      <c r="K66" s="8"/>
    </row>
    <row r="67" spans="1:13" x14ac:dyDescent="0.25">
      <c r="A67" s="7"/>
      <c r="B67" t="s">
        <v>106</v>
      </c>
      <c r="G67" s="59" t="str">
        <f>IF(OR(K65&gt;2,G65&gt;Lookup!L17+0.01),"YES, OVER CAP","No")</f>
        <v>No</v>
      </c>
      <c r="K67" s="8"/>
    </row>
    <row r="68" spans="1:13" x14ac:dyDescent="0.25">
      <c r="A68" s="9"/>
      <c r="B68" s="10" t="s">
        <v>58</v>
      </c>
      <c r="C68" s="10"/>
      <c r="D68" s="10"/>
      <c r="E68" s="10"/>
      <c r="F68" s="10"/>
      <c r="G68" s="10"/>
      <c r="H68" s="10"/>
      <c r="I68" s="10"/>
      <c r="J68" s="10"/>
      <c r="K68" s="11"/>
    </row>
    <row r="69" spans="1:13" ht="9.75" customHeight="1" x14ac:dyDescent="0.25"/>
    <row r="70" spans="1:13" x14ac:dyDescent="0.25">
      <c r="A70" s="122" t="s">
        <v>114</v>
      </c>
      <c r="B70" s="123"/>
      <c r="C70" s="123"/>
      <c r="D70" s="123"/>
      <c r="E70" s="123"/>
      <c r="F70" s="123"/>
      <c r="G70" s="124"/>
    </row>
    <row r="71" spans="1:13" x14ac:dyDescent="0.25">
      <c r="A71" s="7"/>
      <c r="C71" s="2" t="s">
        <v>11</v>
      </c>
      <c r="D71" s="2" t="s">
        <v>108</v>
      </c>
      <c r="E71" s="2" t="s">
        <v>110</v>
      </c>
      <c r="F71" s="2" t="s">
        <v>109</v>
      </c>
      <c r="G71" s="52" t="s">
        <v>111</v>
      </c>
    </row>
    <row r="72" spans="1:13" x14ac:dyDescent="0.25">
      <c r="A72" s="7"/>
      <c r="B72" s="130" t="s">
        <v>112</v>
      </c>
      <c r="C72" t="s">
        <v>37</v>
      </c>
      <c r="D72" s="14">
        <f>SUMIFS('Summer Salary CNAS JUNE'!$J$25:$J$29,'Summer Salary CNAS JUNE'!$A$25:$A$29,C72,'Summer Salary CNAS JUNE'!$D$25:$D$29,"NIH")</f>
        <v>0</v>
      </c>
      <c r="E72" s="12">
        <f>SUMIFS($C$28:$C$37,$A$28:$A$37,C72,$D$28:$D$37,"NIH")</f>
        <v>0</v>
      </c>
      <c r="F72" s="14">
        <f>E72*$B$73</f>
        <v>0</v>
      </c>
      <c r="G72" s="37" t="str">
        <f>IF(F72&lt;D72,"OVER CAP",IF(E72&gt;1,"OVER CAP",""))</f>
        <v/>
      </c>
    </row>
    <row r="73" spans="1:13" x14ac:dyDescent="0.25">
      <c r="A73" s="7"/>
      <c r="B73" s="177">
        <f>Lookup!M2</f>
        <v>19000</v>
      </c>
      <c r="C73" t="s">
        <v>38</v>
      </c>
      <c r="D73" s="14">
        <f>SUMIFS($J$28:$J$37,$A$28:$A$37,C73,$D$28:$D$37,"NIH")</f>
        <v>0</v>
      </c>
      <c r="E73" s="12">
        <f t="shared" ref="E73:E75" si="7">SUMIFS($C$28:$C$37,$A$28:$A$37,C73,$D$28:$D$37,"NIH")</f>
        <v>0</v>
      </c>
      <c r="F73" s="14">
        <f>E73*$B$73</f>
        <v>0</v>
      </c>
      <c r="G73" s="37" t="str">
        <f t="shared" ref="G73:G75" si="8">IF(F73&lt;D73,"OVER CAP",IF(E73&gt;1,"OVER CAP",""))</f>
        <v/>
      </c>
    </row>
    <row r="74" spans="1:13" x14ac:dyDescent="0.25">
      <c r="A74" s="7"/>
      <c r="C74" t="s">
        <v>39</v>
      </c>
      <c r="D74" s="14">
        <f>SUMIFS($J$28:$J$37,$A$28:$A$37,C74,$D$28:$D$37,"NIH")</f>
        <v>0</v>
      </c>
      <c r="E74" s="12">
        <f t="shared" si="7"/>
        <v>0</v>
      </c>
      <c r="F74" s="14">
        <f>E74*$B$73</f>
        <v>0</v>
      </c>
      <c r="G74" s="37" t="str">
        <f t="shared" si="8"/>
        <v/>
      </c>
    </row>
    <row r="75" spans="1:13" x14ac:dyDescent="0.25">
      <c r="A75" s="9"/>
      <c r="B75" s="10"/>
      <c r="C75" s="10" t="s">
        <v>40</v>
      </c>
      <c r="D75" s="5">
        <f>SUMIFS($J$28:$J$37,$A$28:$A$37,C75,$D$28:$D$37,"NIH")</f>
        <v>0</v>
      </c>
      <c r="E75" s="13">
        <f t="shared" si="7"/>
        <v>0</v>
      </c>
      <c r="F75" s="5">
        <f>E75*$B$73</f>
        <v>0</v>
      </c>
      <c r="G75" s="38" t="str">
        <f t="shared" si="8"/>
        <v/>
      </c>
    </row>
    <row r="76" spans="1:13" ht="6.75" customHeight="1" x14ac:dyDescent="0.25"/>
    <row r="77" spans="1:13" ht="15" customHeight="1" x14ac:dyDescent="0.25">
      <c r="A77" s="122" t="s">
        <v>239</v>
      </c>
      <c r="B77" s="123"/>
      <c r="C77" s="123"/>
      <c r="D77" s="123"/>
      <c r="E77" s="123"/>
      <c r="F77" s="123"/>
      <c r="G77" s="124"/>
    </row>
    <row r="78" spans="1:13" ht="15" customHeight="1" x14ac:dyDescent="0.25">
      <c r="A78" s="7"/>
      <c r="C78" s="2" t="s">
        <v>11</v>
      </c>
      <c r="D78" s="2" t="s">
        <v>108</v>
      </c>
      <c r="E78" s="2" t="s">
        <v>110</v>
      </c>
      <c r="F78" s="2" t="s">
        <v>109</v>
      </c>
      <c r="G78" s="52" t="s">
        <v>111</v>
      </c>
    </row>
    <row r="79" spans="1:13" ht="15" customHeight="1" x14ac:dyDescent="0.25">
      <c r="A79" s="7"/>
      <c r="B79" s="130" t="s">
        <v>240</v>
      </c>
      <c r="C79" t="s">
        <v>37</v>
      </c>
      <c r="D79" s="14">
        <f>SUMIFS('Summer Salary CNAS JUNE'!$J$25:$J$29,'Summer Salary CNAS JUNE'!$A$25:$A$29,C79,'Summer Salary CNAS JUNE'!$D$25:$D$29,"NIFA")</f>
        <v>0</v>
      </c>
      <c r="E79" s="12">
        <f>SUMIFS($C$28:$C$37,$A$28:$A$37,C79,$D$28:$D$37,"NIFA")</f>
        <v>0</v>
      </c>
      <c r="F79" s="14">
        <f>E79*$B$80</f>
        <v>0</v>
      </c>
      <c r="G79" s="37" t="str">
        <f>IF(F79&lt;D79,"OVER CAP",IF(E79&gt;1,"OVER CAP",""))</f>
        <v/>
      </c>
    </row>
    <row r="80" spans="1:13" ht="15" customHeight="1" x14ac:dyDescent="0.25">
      <c r="A80" s="7"/>
      <c r="B80" s="177">
        <f>Lookup!M23</f>
        <v>16433.333333333332</v>
      </c>
      <c r="C80" t="s">
        <v>38</v>
      </c>
      <c r="D80" s="14">
        <f>SUMIFS($J$28:$J$37,$A$28:$A$37,C80,$D$28:$D$37,"NIFA")</f>
        <v>0</v>
      </c>
      <c r="E80" s="12">
        <f>SUMIFS($C$28:$C$37,$A$28:$A$37,C80,$D$28:$D$37,"NIFA")</f>
        <v>0</v>
      </c>
      <c r="F80" s="14">
        <f>E80*$B$80</f>
        <v>0</v>
      </c>
      <c r="G80" s="37" t="str">
        <f t="shared" ref="G80:G82" si="9">IF(F80&lt;D80,"OVER CAP",IF(E80&gt;1,"OVER CAP",""))</f>
        <v/>
      </c>
    </row>
    <row r="81" spans="1:13" ht="15" customHeight="1" x14ac:dyDescent="0.25">
      <c r="A81" s="7"/>
      <c r="C81" t="s">
        <v>39</v>
      </c>
      <c r="D81" s="14">
        <f>SUMIFS($J$28:$J$37,$A$28:$A$37,C81,$D$28:$D$37,"NIFA")</f>
        <v>0</v>
      </c>
      <c r="E81" s="12">
        <f>SUMIFS($C$28:$C$37,$A$28:$A$37,C81,$D$28:$D$37,"NIFA")</f>
        <v>0</v>
      </c>
      <c r="F81" s="14">
        <f>E81*$B$80</f>
        <v>0</v>
      </c>
      <c r="G81" s="37" t="str">
        <f t="shared" si="9"/>
        <v/>
      </c>
    </row>
    <row r="82" spans="1:13" ht="15" customHeight="1" x14ac:dyDescent="0.25">
      <c r="A82" s="9"/>
      <c r="B82" s="10"/>
      <c r="C82" s="10" t="s">
        <v>40</v>
      </c>
      <c r="D82" s="5">
        <f>SUMIFS($J$28:$J$37,$A$28:$A$37,C82,$D$28:$D$37,"NIFA")</f>
        <v>0</v>
      </c>
      <c r="E82" s="13">
        <f>SUMIFS($C$28:$C$37,$A$28:$A$37,C82,$D$28:$D$37,"NIFA")</f>
        <v>0</v>
      </c>
      <c r="F82" s="5">
        <f>E82*$B$80</f>
        <v>0</v>
      </c>
      <c r="G82" s="38" t="str">
        <f t="shared" si="9"/>
        <v/>
      </c>
    </row>
    <row r="83" spans="1:13" ht="6.75" customHeight="1" x14ac:dyDescent="0.25"/>
    <row r="84" spans="1:13" x14ac:dyDescent="0.25">
      <c r="A84" s="122" t="s">
        <v>115</v>
      </c>
      <c r="B84" s="123"/>
      <c r="C84" s="123"/>
      <c r="D84" s="123"/>
      <c r="E84" s="123"/>
      <c r="F84" s="123"/>
      <c r="G84" s="124"/>
    </row>
    <row r="85" spans="1:13" x14ac:dyDescent="0.25">
      <c r="A85" s="7"/>
      <c r="B85" t="s">
        <v>11</v>
      </c>
      <c r="C85" t="s">
        <v>116</v>
      </c>
      <c r="D85" t="s">
        <v>118</v>
      </c>
      <c r="E85" s="107" t="s">
        <v>230</v>
      </c>
      <c r="G85" s="8"/>
    </row>
    <row r="86" spans="1:13" x14ac:dyDescent="0.25">
      <c r="A86" s="7"/>
      <c r="B86" t="s">
        <v>37</v>
      </c>
      <c r="C86" s="338">
        <f>SUMIF('Summer Salary CNAS JUNE'!$A$25:$A$29,B86,'Summer Salary CNAS JUNE'!$C$25:$C$29)</f>
        <v>0</v>
      </c>
      <c r="D86" s="36" t="str">
        <f>IF(C86&gt;1,"OVER CAP","")</f>
        <v/>
      </c>
      <c r="E86" s="108" t="str">
        <f>IF(C86&gt;D12,"OVER CAP","")</f>
        <v/>
      </c>
      <c r="G86" s="8"/>
    </row>
    <row r="87" spans="1:13" x14ac:dyDescent="0.25">
      <c r="A87" s="7"/>
      <c r="B87" t="s">
        <v>38</v>
      </c>
      <c r="C87" s="338">
        <f>SUMIF($A$28:$A$37,B87,C28:$C$37)</f>
        <v>0</v>
      </c>
      <c r="D87" s="36" t="str">
        <f t="shared" ref="D87:D90" si="10">IF(C87&gt;1,"OVER CAP","")</f>
        <v/>
      </c>
      <c r="E87" s="108" t="str">
        <f>IF(C87&gt;F12,"OVER CAP","")</f>
        <v/>
      </c>
      <c r="G87" s="8"/>
    </row>
    <row r="88" spans="1:13" x14ac:dyDescent="0.25">
      <c r="A88" s="7"/>
      <c r="B88" t="s">
        <v>39</v>
      </c>
      <c r="C88" s="338">
        <f>SUMIF($A$28:$A$37,B88,C28:$C$37)</f>
        <v>0</v>
      </c>
      <c r="D88" s="36" t="str">
        <f>IF(C88&gt;1,"OVER CAP","")</f>
        <v/>
      </c>
      <c r="E88" s="108" t="str">
        <f>IF(C88&gt;H12,"OVER CAP","")</f>
        <v/>
      </c>
      <c r="G88" s="8"/>
    </row>
    <row r="89" spans="1:13" x14ac:dyDescent="0.25">
      <c r="A89" s="7"/>
      <c r="B89" t="s">
        <v>40</v>
      </c>
      <c r="C89" s="338">
        <f>SUMIF($A$28:$A$37,B89,C28:$C$37)</f>
        <v>0</v>
      </c>
      <c r="D89" s="36" t="str">
        <f>IF(C89&gt;1,"OVER CAP","")</f>
        <v/>
      </c>
      <c r="E89" s="108" t="str">
        <f>IF(C89&gt;K12,"OVER CAP","")</f>
        <v/>
      </c>
      <c r="G89" s="8"/>
    </row>
    <row r="90" spans="1:13" x14ac:dyDescent="0.25">
      <c r="A90" s="7"/>
      <c r="B90" t="s">
        <v>117</v>
      </c>
      <c r="C90" s="338">
        <f>SUMIF('Summer Salary CNAS JUNE'!$A$25:$A$29,"June",'Summer Salary CNAS JUNE'!$C$25:$C$29)+SUMIF($A$28:$A$37,"September",C28:$C$37)</f>
        <v>0</v>
      </c>
      <c r="D90" s="36" t="str">
        <f t="shared" si="10"/>
        <v/>
      </c>
      <c r="E90" s="108"/>
      <c r="G90" s="8"/>
    </row>
    <row r="91" spans="1:13" x14ac:dyDescent="0.25">
      <c r="B91" t="s">
        <v>409</v>
      </c>
      <c r="C91" s="338">
        <f>SUM(C28:C37)+SUM('Summer Salary CNAS JUNE'!C25:C29)+K44</f>
        <v>0</v>
      </c>
      <c r="D91" s="36" t="str">
        <f>IF(C91&gt;3,"OVER CAP","")</f>
        <v/>
      </c>
      <c r="E91" s="108"/>
      <c r="G91" s="8"/>
    </row>
    <row r="92" spans="1:13" x14ac:dyDescent="0.25">
      <c r="A92" s="105" t="s">
        <v>231</v>
      </c>
      <c r="C92" s="12"/>
      <c r="D92" s="36"/>
      <c r="E92" s="106"/>
      <c r="G92" s="8"/>
    </row>
    <row r="93" spans="1:13" x14ac:dyDescent="0.25">
      <c r="A93" s="9"/>
      <c r="B93" s="109" t="s">
        <v>229</v>
      </c>
      <c r="C93" s="110"/>
      <c r="D93" s="55"/>
      <c r="E93" s="10"/>
      <c r="F93" s="10"/>
      <c r="G93" s="11"/>
    </row>
    <row r="95" spans="1:13" x14ac:dyDescent="0.25">
      <c r="A95" s="131" t="s">
        <v>63</v>
      </c>
      <c r="B95" s="130" t="s">
        <v>260</v>
      </c>
      <c r="C95" s="130"/>
      <c r="D95" s="130"/>
      <c r="E95" s="130"/>
      <c r="F95" s="130"/>
      <c r="G95" s="130"/>
      <c r="H95" s="130"/>
      <c r="I95" s="130"/>
      <c r="J95" s="130"/>
      <c r="K95" s="130"/>
      <c r="L95" s="130"/>
      <c r="M95" s="130"/>
    </row>
    <row r="96" spans="1:13" ht="8.25" customHeight="1" x14ac:dyDescent="0.25"/>
    <row r="97" spans="1:13" ht="52.5" customHeight="1" x14ac:dyDescent="0.25">
      <c r="A97" s="133" t="s">
        <v>246</v>
      </c>
      <c r="B97" s="356"/>
      <c r="C97" s="357"/>
      <c r="D97" s="357"/>
      <c r="E97" s="357"/>
      <c r="F97" s="357"/>
      <c r="G97" s="357"/>
      <c r="H97" s="357"/>
      <c r="I97" s="357"/>
      <c r="J97" s="357"/>
      <c r="K97" s="357"/>
      <c r="L97" s="357"/>
      <c r="M97" s="358"/>
    </row>
    <row r="98" spans="1:13" ht="8.25" customHeight="1" x14ac:dyDescent="0.25"/>
    <row r="99" spans="1:13" ht="25.5" customHeight="1" x14ac:dyDescent="0.25">
      <c r="B99" s="4" t="s">
        <v>64</v>
      </c>
      <c r="C99" s="359"/>
      <c r="D99" s="359"/>
      <c r="E99" s="359"/>
      <c r="F99" s="359"/>
      <c r="G99" s="359"/>
      <c r="I99" s="360"/>
      <c r="J99" s="360"/>
    </row>
    <row r="100" spans="1:13" x14ac:dyDescent="0.25">
      <c r="D100" s="26" t="s">
        <v>261</v>
      </c>
      <c r="J100" s="26" t="s">
        <v>65</v>
      </c>
    </row>
    <row r="101" spans="1:13" ht="5.25" customHeight="1" x14ac:dyDescent="0.25">
      <c r="A101" s="27"/>
      <c r="B101" s="27"/>
      <c r="C101" s="27"/>
      <c r="D101" s="27"/>
      <c r="E101" s="27"/>
      <c r="F101" s="27"/>
      <c r="G101" s="27"/>
      <c r="H101" s="27"/>
      <c r="I101" s="27"/>
      <c r="J101" s="27"/>
      <c r="K101" s="27"/>
      <c r="L101" s="27"/>
      <c r="M101" s="27"/>
    </row>
    <row r="102" spans="1:13" ht="5.25" customHeight="1" x14ac:dyDescent="0.25"/>
    <row r="103" spans="1:13" x14ac:dyDescent="0.25">
      <c r="A103" s="361" t="s">
        <v>66</v>
      </c>
      <c r="B103" s="361"/>
      <c r="C103" s="361"/>
      <c r="D103" s="361"/>
      <c r="E103" s="361"/>
      <c r="F103" s="361"/>
      <c r="G103" s="361"/>
      <c r="H103" s="361"/>
      <c r="I103" s="361"/>
      <c r="J103" s="361"/>
      <c r="K103" s="361"/>
      <c r="L103" s="361"/>
      <c r="M103" s="361"/>
    </row>
    <row r="104" spans="1:13" x14ac:dyDescent="0.25">
      <c r="A104" t="s">
        <v>67</v>
      </c>
      <c r="B104" s="187">
        <f>I7</f>
        <v>0</v>
      </c>
      <c r="C104" t="s">
        <v>68</v>
      </c>
      <c r="D104" s="6" t="e">
        <f>VLOOKUP(I5,Lookup!$E$2:$G$26,3,0)</f>
        <v>#N/A</v>
      </c>
      <c r="E104" t="s">
        <v>69</v>
      </c>
      <c r="F104" s="83" t="s">
        <v>71</v>
      </c>
      <c r="H104" s="4" t="s">
        <v>70</v>
      </c>
      <c r="I104" s="362"/>
      <c r="J104" s="362"/>
      <c r="K104" s="4" t="s">
        <v>302</v>
      </c>
      <c r="L104" s="174">
        <f>VLOOKUP(F104,Lookup!$H$2:$I$26,2,0)</f>
        <v>500420</v>
      </c>
    </row>
    <row r="105" spans="1:13" ht="7.5" customHeight="1" x14ac:dyDescent="0.25"/>
    <row r="106" spans="1:13" x14ac:dyDescent="0.25">
      <c r="B106" s="4" t="s">
        <v>97</v>
      </c>
      <c r="C106" s="363"/>
      <c r="D106" s="363"/>
      <c r="E106" s="363"/>
      <c r="F106" s="363"/>
      <c r="G106" s="4" t="s">
        <v>65</v>
      </c>
      <c r="H106" s="364"/>
      <c r="I106" s="364"/>
      <c r="J106" s="364"/>
      <c r="M106" s="155"/>
    </row>
    <row r="107" spans="1:13" ht="7.5" customHeight="1" x14ac:dyDescent="0.25">
      <c r="M107" s="155"/>
    </row>
    <row r="108" spans="1:13" x14ac:dyDescent="0.25">
      <c r="B108" s="4" t="s">
        <v>98</v>
      </c>
      <c r="C108" s="363"/>
      <c r="D108" s="363"/>
      <c r="E108" s="363"/>
      <c r="F108" s="363"/>
      <c r="G108" s="4" t="s">
        <v>65</v>
      </c>
      <c r="H108" s="364"/>
      <c r="I108" s="364"/>
      <c r="J108" s="364"/>
      <c r="M108" s="155"/>
    </row>
    <row r="109" spans="1:13" x14ac:dyDescent="0.25">
      <c r="M109" s="285"/>
    </row>
    <row r="110" spans="1:13" ht="15" customHeight="1" x14ac:dyDescent="0.25">
      <c r="A110" s="2" t="s">
        <v>99</v>
      </c>
      <c r="B110" s="28" t="s">
        <v>100</v>
      </c>
      <c r="C110" s="353" t="s">
        <v>101</v>
      </c>
      <c r="D110" s="354"/>
      <c r="E110" s="354"/>
      <c r="F110" s="354"/>
      <c r="G110" s="354"/>
      <c r="H110" s="354"/>
      <c r="I110" s="354"/>
      <c r="J110" s="354"/>
      <c r="K110" s="354"/>
      <c r="L110" s="354"/>
      <c r="M110" s="355"/>
    </row>
    <row r="111" spans="1:13" x14ac:dyDescent="0.25">
      <c r="B111" s="268"/>
      <c r="C111" s="356"/>
      <c r="D111" s="357"/>
      <c r="E111" s="357"/>
      <c r="F111" s="357"/>
      <c r="G111" s="357"/>
      <c r="H111" s="357"/>
      <c r="I111" s="357"/>
      <c r="J111" s="357"/>
      <c r="K111" s="357"/>
      <c r="L111" s="357"/>
      <c r="M111" s="358"/>
    </row>
    <row r="112" spans="1:13" x14ac:dyDescent="0.25">
      <c r="B112" s="268"/>
      <c r="C112" s="356"/>
      <c r="D112" s="357"/>
      <c r="E112" s="357"/>
      <c r="F112" s="357"/>
      <c r="G112" s="357"/>
      <c r="H112" s="357"/>
      <c r="I112" s="357"/>
      <c r="J112" s="357"/>
      <c r="K112" s="357"/>
      <c r="L112" s="357"/>
      <c r="M112" s="358"/>
    </row>
    <row r="113" spans="2:13" x14ac:dyDescent="0.25">
      <c r="B113" s="268"/>
      <c r="C113" s="356"/>
      <c r="D113" s="357"/>
      <c r="E113" s="357"/>
      <c r="F113" s="357"/>
      <c r="G113" s="357"/>
      <c r="H113" s="357"/>
      <c r="I113" s="357"/>
      <c r="J113" s="357"/>
      <c r="K113" s="357"/>
      <c r="L113" s="357"/>
      <c r="M113" s="358"/>
    </row>
    <row r="114" spans="2:13" x14ac:dyDescent="0.25">
      <c r="B114" s="268"/>
      <c r="C114" s="356"/>
      <c r="D114" s="357"/>
      <c r="E114" s="357"/>
      <c r="F114" s="357"/>
      <c r="G114" s="357"/>
      <c r="H114" s="357"/>
      <c r="I114" s="357"/>
      <c r="J114" s="357"/>
      <c r="K114" s="357"/>
      <c r="L114" s="357"/>
      <c r="M114" s="358"/>
    </row>
    <row r="115" spans="2:13" x14ac:dyDescent="0.25">
      <c r="B115" s="268"/>
      <c r="C115" s="356"/>
      <c r="D115" s="357"/>
      <c r="E115" s="357"/>
      <c r="F115" s="357"/>
      <c r="G115" s="357"/>
      <c r="H115" s="357"/>
      <c r="I115" s="357"/>
      <c r="J115" s="357"/>
      <c r="K115" s="357"/>
      <c r="L115" s="357"/>
      <c r="M115" s="358"/>
    </row>
    <row r="116" spans="2:13" x14ac:dyDescent="0.25">
      <c r="B116" s="268"/>
      <c r="C116" s="356"/>
      <c r="D116" s="357"/>
      <c r="E116" s="357"/>
      <c r="F116" s="357"/>
      <c r="G116" s="357"/>
      <c r="H116" s="357"/>
      <c r="I116" s="357"/>
      <c r="J116" s="357"/>
      <c r="K116" s="357"/>
      <c r="L116" s="357"/>
      <c r="M116" s="358"/>
    </row>
  </sheetData>
  <sheetProtection algorithmName="SHA-512" hashValue="X4RHl2YIFSLj+hA7VZEELw5dobB9gYmWiOQbcyOB0njOl0afxQOOl8uCL4GvK+nO7zhECaSbg17u+Y4CZMMpIw==" saltValue="u25h3AdNuzC2csLoH+kX4w==" spinCount="100000" sheet="1" objects="1" scenarios="1"/>
  <mergeCells count="29">
    <mergeCell ref="I52:J52"/>
    <mergeCell ref="C99:G99"/>
    <mergeCell ref="I99:J99"/>
    <mergeCell ref="I61:J61"/>
    <mergeCell ref="C108:F108"/>
    <mergeCell ref="H108:J108"/>
    <mergeCell ref="B97:M97"/>
    <mergeCell ref="A103:M103"/>
    <mergeCell ref="C116:M116"/>
    <mergeCell ref="C115:M115"/>
    <mergeCell ref="C114:M114"/>
    <mergeCell ref="C113:M113"/>
    <mergeCell ref="C112:M112"/>
    <mergeCell ref="C111:M111"/>
    <mergeCell ref="C110:M110"/>
    <mergeCell ref="A1:M1"/>
    <mergeCell ref="A2:M2"/>
    <mergeCell ref="A3:M3"/>
    <mergeCell ref="A39:M39"/>
    <mergeCell ref="I104:J104"/>
    <mergeCell ref="C106:F106"/>
    <mergeCell ref="H106:J106"/>
    <mergeCell ref="I5:K5"/>
    <mergeCell ref="B5:C5"/>
    <mergeCell ref="E5:G5"/>
    <mergeCell ref="B7:C7"/>
    <mergeCell ref="I7:J7"/>
    <mergeCell ref="B14:M14"/>
    <mergeCell ref="C52:G52"/>
  </mergeCells>
  <pageMargins left="0.5" right="0.5" top="0.5" bottom="0.5" header="0.5" footer="0.5"/>
  <pageSetup scale="22"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locked="0" defaultSize="0" autoFill="0" autoLine="0" autoPict="0">
                <anchor moveWithCells="1">
                  <from>
                    <xdr:col>8</xdr:col>
                    <xdr:colOff>809625</xdr:colOff>
                    <xdr:row>16</xdr:row>
                    <xdr:rowOff>66675</xdr:rowOff>
                  </from>
                  <to>
                    <xdr:col>9</xdr:col>
                    <xdr:colOff>66675</xdr:colOff>
                    <xdr:row>18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Lookup!$A$1:$A$2</xm:f>
          </x14:formula1>
          <xm:sqref>E20 E25 G28:G37 I104:J104 C44 E48 I61:J61</xm:sqref>
        </x14:dataValidation>
        <x14:dataValidation type="list" allowBlank="1" showInputMessage="1" showErrorMessage="1" xr:uid="{00000000-0002-0000-0200-000001000000}">
          <x14:formula1>
            <xm:f>Lookup!$A$11:$A$15</xm:f>
          </x14:formula1>
          <xm:sqref>J46</xm:sqref>
        </x14:dataValidation>
        <x14:dataValidation type="list" allowBlank="1" showInputMessage="1" showErrorMessage="1" xr:uid="{00000000-0002-0000-0200-000002000000}">
          <x14:formula1>
            <xm:f>Lookup!$A$21:$A$25</xm:f>
          </x14:formula1>
          <xm:sqref>F104</xm:sqref>
        </x14:dataValidation>
        <x14:dataValidation type="list" allowBlank="1" showInputMessage="1" showErrorMessage="1" xr:uid="{00000000-0002-0000-0200-000003000000}">
          <x14:formula1>
            <xm:f>Lookup!$C$1:$C$7</xm:f>
          </x14:formula1>
          <xm:sqref>D28:D37</xm:sqref>
        </x14:dataValidation>
        <x14:dataValidation type="list" allowBlank="1" showInputMessage="1" showErrorMessage="1" xr:uid="{00000000-0002-0000-0200-000004000000}">
          <x14:formula1>
            <xm:f>Lookup!$A$32:$A$33</xm:f>
          </x14:formula1>
          <xm:sqref>E7</xm:sqref>
        </x14:dataValidation>
        <x14:dataValidation type="list" allowBlank="1" showInputMessage="1" showErrorMessage="1" xr:uid="{00000000-0002-0000-0200-000005000000}">
          <x14:formula1>
            <xm:f>Lookup!$C$30:$C$44</xm:f>
          </x14:formula1>
          <xm:sqref>E5:G5</xm:sqref>
        </x14:dataValidation>
        <x14:dataValidation type="list" allowBlank="1" showInputMessage="1" showErrorMessage="1" xr:uid="{00000000-0002-0000-0200-000007000000}">
          <x14:formula1>
            <xm:f>Lookup!$A$6:$A$8</xm:f>
          </x14:formula1>
          <xm:sqref>A28:A37</xm:sqref>
        </x14:dataValidation>
        <x14:dataValidation type="list" allowBlank="1" showInputMessage="1" showErrorMessage="1" xr:uid="{00000000-0002-0000-0200-000008000000}">
          <x14:formula1>
            <xm:f>Lookup!$E$2:$E$16</xm:f>
          </x14:formula1>
          <xm:sqref>I5:K5</xm:sqref>
        </x14:dataValidation>
        <x14:dataValidation type="list" allowBlank="1" showInputMessage="1" showErrorMessage="1" xr:uid="{00000000-0002-0000-0200-000009000000}">
          <x14:formula1>
            <xm:f>Lookup!$E$2:$E$26</xm:f>
          </x14:formula1>
          <xm:sqref>I6:K6</xm:sqref>
        </x14:dataValidation>
        <x14:dataValidation type="list" allowBlank="1" showInputMessage="1" showErrorMessage="1" xr:uid="{5F3AA3BE-6E3A-4432-8BA6-3BD5D00EF9CA}">
          <x14:formula1>
            <xm:f>Lookup!$K$2:$K$12</xm:f>
          </x14:formula1>
          <xm:sqref>E28:E37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pageSetUpPr fitToPage="1"/>
  </sheetPr>
  <dimension ref="A1:O121"/>
  <sheetViews>
    <sheetView zoomScale="80" zoomScaleNormal="80" workbookViewId="0">
      <selection activeCell="E29" sqref="E29"/>
    </sheetView>
  </sheetViews>
  <sheetFormatPr defaultRowHeight="15" x14ac:dyDescent="0.25"/>
  <cols>
    <col min="1" max="1" width="12.5703125" customWidth="1"/>
    <col min="2" max="2" width="37.85546875" customWidth="1"/>
    <col min="3" max="3" width="15.42578125" customWidth="1"/>
    <col min="4" max="4" width="17.140625" customWidth="1"/>
    <col min="5" max="5" width="13.85546875" customWidth="1"/>
    <col min="6" max="6" width="14" customWidth="1"/>
    <col min="7" max="7" width="12" customWidth="1"/>
    <col min="8" max="8" width="13.85546875" customWidth="1"/>
    <col min="9" max="9" width="15.28515625" customWidth="1"/>
    <col min="10" max="10" width="15.5703125" customWidth="1"/>
    <col min="11" max="11" width="18" customWidth="1"/>
    <col min="12" max="12" width="17.28515625" customWidth="1"/>
    <col min="13" max="13" width="18.140625" customWidth="1"/>
    <col min="14" max="14" width="43.28515625" customWidth="1"/>
    <col min="15" max="15" width="14.28515625" customWidth="1"/>
  </cols>
  <sheetData>
    <row r="1" spans="1:14" ht="19.5" customHeight="1" x14ac:dyDescent="0.35">
      <c r="A1" s="350" t="s">
        <v>370</v>
      </c>
      <c r="B1" s="350"/>
      <c r="C1" s="350"/>
      <c r="D1" s="350"/>
      <c r="E1" s="350"/>
      <c r="F1" s="350"/>
      <c r="G1" s="350"/>
      <c r="H1" s="350"/>
      <c r="I1" s="350"/>
      <c r="J1" s="350"/>
      <c r="K1" s="350"/>
      <c r="L1" s="350"/>
      <c r="M1" s="350"/>
      <c r="N1" s="350"/>
    </row>
    <row r="2" spans="1:14" ht="19.5" customHeight="1" x14ac:dyDescent="0.35">
      <c r="A2" s="350" t="s">
        <v>504</v>
      </c>
      <c r="B2" s="350"/>
      <c r="C2" s="350"/>
      <c r="D2" s="350"/>
      <c r="E2" s="350"/>
      <c r="F2" s="350"/>
      <c r="G2" s="350"/>
      <c r="H2" s="350"/>
      <c r="I2" s="350"/>
      <c r="J2" s="350"/>
      <c r="K2" s="350"/>
      <c r="L2" s="350"/>
      <c r="M2" s="350"/>
      <c r="N2" s="350"/>
    </row>
    <row r="3" spans="1:14" ht="14.25" customHeight="1" x14ac:dyDescent="0.25">
      <c r="A3" s="351" t="s">
        <v>383</v>
      </c>
      <c r="B3" s="351"/>
      <c r="C3" s="351"/>
      <c r="D3" s="351"/>
      <c r="E3" s="351"/>
      <c r="F3" s="351"/>
      <c r="G3" s="351"/>
      <c r="H3" s="351"/>
      <c r="I3" s="351"/>
      <c r="J3" s="351"/>
      <c r="K3" s="351"/>
      <c r="L3" s="351"/>
      <c r="M3" s="351"/>
      <c r="N3" s="351"/>
    </row>
    <row r="4" spans="1:14" ht="9" customHeight="1" x14ac:dyDescent="0.25"/>
    <row r="5" spans="1:14" ht="19.5" customHeight="1" x14ac:dyDescent="0.25">
      <c r="A5" s="24" t="s">
        <v>1</v>
      </c>
      <c r="B5" s="372"/>
      <c r="C5" s="372"/>
      <c r="D5" s="24" t="s">
        <v>2</v>
      </c>
      <c r="E5" s="372"/>
      <c r="F5" s="372"/>
      <c r="G5" s="372"/>
      <c r="H5" s="24" t="s">
        <v>3</v>
      </c>
      <c r="I5" s="372"/>
      <c r="J5" s="372"/>
      <c r="K5" s="372"/>
    </row>
    <row r="6" spans="1:14" ht="6.75" customHeight="1" x14ac:dyDescent="0.25">
      <c r="A6" s="4"/>
      <c r="B6" s="18"/>
      <c r="C6" s="18"/>
      <c r="E6" s="18"/>
      <c r="F6" s="18"/>
      <c r="G6" s="18"/>
      <c r="I6" s="18"/>
      <c r="J6" s="18"/>
      <c r="K6" s="18"/>
    </row>
    <row r="7" spans="1:14" ht="17.25" customHeight="1" x14ac:dyDescent="0.25">
      <c r="A7" s="24" t="s">
        <v>247</v>
      </c>
      <c r="B7" s="372"/>
      <c r="C7" s="372"/>
      <c r="D7" s="24" t="s">
        <v>245</v>
      </c>
      <c r="E7" s="85"/>
      <c r="F7" s="36" t="str">
        <f>IF(E7="Revision","Revisions require a comment in section 3 explaining the change","")</f>
        <v/>
      </c>
      <c r="H7" s="24" t="s">
        <v>382</v>
      </c>
      <c r="I7" s="368"/>
      <c r="J7" s="368"/>
    </row>
    <row r="8" spans="1:14" ht="6" customHeight="1" x14ac:dyDescent="0.25"/>
    <row r="9" spans="1:14" ht="20.25" customHeight="1" x14ac:dyDescent="0.25">
      <c r="A9" s="34" t="s">
        <v>4</v>
      </c>
    </row>
    <row r="10" spans="1:14" s="34" customFormat="1" ht="20.25" customHeight="1" x14ac:dyDescent="0.25">
      <c r="B10" s="34" t="s">
        <v>42</v>
      </c>
    </row>
    <row r="11" spans="1:14" s="34" customFormat="1" ht="19.5" customHeight="1" x14ac:dyDescent="0.25">
      <c r="B11" s="34" t="s">
        <v>120</v>
      </c>
    </row>
    <row r="12" spans="1:14" s="34" customFormat="1" ht="15.75" customHeight="1" x14ac:dyDescent="0.25">
      <c r="B12" s="34" t="s">
        <v>119</v>
      </c>
      <c r="C12" s="151" t="s">
        <v>497</v>
      </c>
      <c r="D12" s="56">
        <f>Lookup!R4</f>
        <v>0.63160000000000005</v>
      </c>
      <c r="E12" s="151" t="s">
        <v>498</v>
      </c>
      <c r="F12" s="56">
        <f>Lookup!R5</f>
        <v>1.2104999999999999</v>
      </c>
      <c r="G12" s="151" t="s">
        <v>499</v>
      </c>
      <c r="H12" s="56">
        <f>Lookup!R6</f>
        <v>1.1052999999999999</v>
      </c>
      <c r="J12" s="151" t="s">
        <v>500</v>
      </c>
      <c r="K12" s="56">
        <f>Lookup!R7</f>
        <v>0.73680000000000001</v>
      </c>
      <c r="L12" s="156"/>
    </row>
    <row r="13" spans="1:14" s="34" customFormat="1" ht="9" customHeight="1" x14ac:dyDescent="0.25">
      <c r="B13" s="150"/>
    </row>
    <row r="14" spans="1:14" s="34" customFormat="1" ht="15.75" customHeight="1" x14ac:dyDescent="0.25">
      <c r="B14" s="365" t="s">
        <v>41</v>
      </c>
      <c r="C14" s="365"/>
      <c r="D14" s="365"/>
      <c r="E14" s="365"/>
      <c r="F14" s="365"/>
      <c r="G14" s="365"/>
      <c r="H14" s="365"/>
      <c r="I14" s="365"/>
      <c r="J14" s="365"/>
      <c r="K14" s="365"/>
      <c r="L14" s="365"/>
      <c r="M14" s="365"/>
      <c r="N14" s="365"/>
    </row>
    <row r="15" spans="1:14" ht="7.5" customHeight="1" x14ac:dyDescent="0.25"/>
    <row r="16" spans="1:14" x14ac:dyDescent="0.25">
      <c r="A16" s="131" t="s">
        <v>5</v>
      </c>
      <c r="B16" s="130" t="s">
        <v>6</v>
      </c>
      <c r="C16" s="130"/>
      <c r="D16" s="132" t="s">
        <v>7</v>
      </c>
      <c r="E16" s="130"/>
      <c r="F16" s="130"/>
      <c r="G16" s="130"/>
      <c r="H16" s="130"/>
      <c r="I16" s="130"/>
      <c r="J16" s="130"/>
      <c r="K16" s="130"/>
      <c r="L16" s="130"/>
      <c r="M16" s="130"/>
      <c r="N16" s="130"/>
    </row>
    <row r="17" spans="1:15" ht="7.5" customHeight="1" x14ac:dyDescent="0.25"/>
    <row r="18" spans="1:15" x14ac:dyDescent="0.25">
      <c r="B18" s="4" t="s">
        <v>8</v>
      </c>
      <c r="C18" s="86"/>
      <c r="E18" t="s">
        <v>9</v>
      </c>
      <c r="F18" s="29">
        <f>C18/9</f>
        <v>0</v>
      </c>
      <c r="I18" s="98"/>
      <c r="J18" t="s">
        <v>444</v>
      </c>
    </row>
    <row r="19" spans="1:15" ht="7.5" customHeight="1" x14ac:dyDescent="0.25">
      <c r="I19" s="335" t="b">
        <v>0</v>
      </c>
    </row>
    <row r="20" spans="1:15" ht="15.75" x14ac:dyDescent="0.25">
      <c r="B20" s="162" t="s">
        <v>507</v>
      </c>
      <c r="E20" s="85"/>
      <c r="I20" s="331"/>
      <c r="K20" s="22"/>
      <c r="L20" s="22"/>
      <c r="M20" s="22"/>
    </row>
    <row r="21" spans="1:15" ht="15.75" customHeight="1" x14ac:dyDescent="0.25">
      <c r="B21" s="344" t="str">
        <f>IF(E20="Yes","Once the M&amp;P is approved, a revised form needs to be submitted","")</f>
        <v/>
      </c>
    </row>
    <row r="22" spans="1:15" ht="6" customHeight="1" x14ac:dyDescent="0.25"/>
    <row r="23" spans="1:15" x14ac:dyDescent="0.25">
      <c r="B23" t="s">
        <v>10</v>
      </c>
      <c r="D23" s="86"/>
      <c r="F23" t="s">
        <v>9</v>
      </c>
      <c r="G23" s="29">
        <f>D23/9</f>
        <v>0</v>
      </c>
      <c r="I23" s="331" t="str">
        <f>IF(I19=TRUE,"                Please type your name for confirmation of off-cycle check:","")</f>
        <v/>
      </c>
      <c r="K23" s="22"/>
      <c r="L23" s="22"/>
      <c r="M23" s="334"/>
    </row>
    <row r="24" spans="1:15" ht="15" customHeight="1" x14ac:dyDescent="0.25">
      <c r="B24" s="103" t="s">
        <v>228</v>
      </c>
    </row>
    <row r="25" spans="1:15" ht="15.75" x14ac:dyDescent="0.25">
      <c r="B25" t="s">
        <v>501</v>
      </c>
      <c r="E25" s="85"/>
      <c r="F25" s="32" t="str">
        <f>IF(E25="Yes", "PLEASE USE NSP SUMMER SALARY FORM","")</f>
        <v/>
      </c>
    </row>
    <row r="26" spans="1:15" ht="7.5" customHeight="1" x14ac:dyDescent="0.25"/>
    <row r="27" spans="1:15" s="1" customFormat="1" ht="63" customHeight="1" x14ac:dyDescent="0.25">
      <c r="A27" s="250" t="s">
        <v>12</v>
      </c>
      <c r="B27" s="251" t="s">
        <v>363</v>
      </c>
      <c r="C27" s="251" t="s">
        <v>13</v>
      </c>
      <c r="D27" s="251" t="s">
        <v>48</v>
      </c>
      <c r="E27" s="251" t="s">
        <v>416</v>
      </c>
      <c r="F27" s="251" t="s">
        <v>243</v>
      </c>
      <c r="G27" s="251" t="s">
        <v>43</v>
      </c>
      <c r="H27" s="250" t="s">
        <v>427</v>
      </c>
      <c r="I27" s="251" t="s">
        <v>14</v>
      </c>
      <c r="J27" s="251" t="s">
        <v>430</v>
      </c>
      <c r="K27" s="251" t="s">
        <v>476</v>
      </c>
      <c r="L27" s="251" t="s">
        <v>15</v>
      </c>
      <c r="M27" s="251" t="s">
        <v>477</v>
      </c>
      <c r="N27" s="148" t="s">
        <v>361</v>
      </c>
      <c r="O27" s="252" t="s">
        <v>424</v>
      </c>
    </row>
    <row r="28" spans="1:15" ht="30" customHeight="1" x14ac:dyDescent="0.25">
      <c r="A28" s="87"/>
      <c r="B28" s="290"/>
      <c r="C28" s="88"/>
      <c r="D28" s="291"/>
      <c r="E28" s="291">
        <v>2026</v>
      </c>
      <c r="F28" s="125">
        <f>IF(D28="NIH",VLOOKUP(E28,Lookup!$K$3:$M$12,3,0),IF(D28="NSF",Lookup!$L$17,IF(D28="NIFA",VLOOKUP(E28,Lookup!$K$23:$M$33,3,0),IF(D28="Other",$C$44,0))))</f>
        <v>0</v>
      </c>
      <c r="G28" s="297" t="s">
        <v>21</v>
      </c>
      <c r="H28" s="41">
        <f t="shared" ref="H28:H37" si="0">IF(A28="June",$F$18*C28,$G$23*C28)</f>
        <v>0</v>
      </c>
      <c r="I28" s="301" t="str">
        <f t="shared" ref="I28:I37" si="1">IF(AND(F28&gt;0,H28&gt;(F28*C28)),"Yes","No")</f>
        <v>No</v>
      </c>
      <c r="J28" s="43">
        <f t="shared" ref="J28:J37" si="2">IF(G28="Yes",(F28*C28),IF(I28="Yes",H28-L28,H28))</f>
        <v>0</v>
      </c>
      <c r="K28" s="39">
        <f>J28*0.102</f>
        <v>0</v>
      </c>
      <c r="L28" s="39">
        <f t="shared" ref="L28:L37" si="3">IF(G28="Yes",0,IF(I28="Yes",H28-(F28*C28),0))</f>
        <v>0</v>
      </c>
      <c r="M28" s="288">
        <f>L28*0.102</f>
        <v>0</v>
      </c>
      <c r="N28" s="261"/>
      <c r="O28" s="271" t="str">
        <f>IF(G28="Yes",$H28-(J28),"")</f>
        <v/>
      </c>
    </row>
    <row r="29" spans="1:15" ht="30" customHeight="1" x14ac:dyDescent="0.25">
      <c r="A29" s="89"/>
      <c r="B29" s="292"/>
      <c r="C29" s="90"/>
      <c r="D29" s="293"/>
      <c r="E29" s="294">
        <v>2026</v>
      </c>
      <c r="F29" s="40">
        <f>IF(D29="NIH",VLOOKUP(E29,Lookup!$K$3:$M$12,3,0),IF(D29="NSF",Lookup!$L$17,IF(D29="NIFA",VLOOKUP(E29,Lookup!$K$23:$M$33,3,0),IF(D29="Other",$C$44,0))))</f>
        <v>0</v>
      </c>
      <c r="G29" s="298" t="s">
        <v>21</v>
      </c>
      <c r="H29" s="44">
        <f t="shared" si="0"/>
        <v>0</v>
      </c>
      <c r="I29" s="302" t="str">
        <f t="shared" si="1"/>
        <v>No</v>
      </c>
      <c r="J29" s="46">
        <f t="shared" si="2"/>
        <v>0</v>
      </c>
      <c r="K29" s="40">
        <f>J29*0.102</f>
        <v>0</v>
      </c>
      <c r="L29" s="40">
        <f t="shared" si="3"/>
        <v>0</v>
      </c>
      <c r="M29" s="289">
        <f>L29*0.102</f>
        <v>0</v>
      </c>
      <c r="N29" s="262"/>
      <c r="O29" s="272" t="str">
        <f>IF(G29="Yes",$H29-(J29),"")</f>
        <v/>
      </c>
    </row>
    <row r="30" spans="1:15" ht="30" customHeight="1" x14ac:dyDescent="0.25">
      <c r="A30" s="89"/>
      <c r="B30" s="292"/>
      <c r="C30" s="90"/>
      <c r="D30" s="293"/>
      <c r="E30" s="294">
        <v>2026</v>
      </c>
      <c r="F30" s="40">
        <f>IF(D30="NIH",Lookup!$M$3,IF(D30="NSF",Lookup!$L$17,IF(D30="NIFA",Lookup!$M$23,IF(D30="Other",$C$44,0))))</f>
        <v>0</v>
      </c>
      <c r="G30" s="298" t="s">
        <v>21</v>
      </c>
      <c r="H30" s="44">
        <f t="shared" si="0"/>
        <v>0</v>
      </c>
      <c r="I30" s="302" t="str">
        <f t="shared" si="1"/>
        <v>No</v>
      </c>
      <c r="J30" s="46">
        <f t="shared" si="2"/>
        <v>0</v>
      </c>
      <c r="K30" s="40">
        <f t="shared" ref="K30:K36" si="4">J30*0.102</f>
        <v>0</v>
      </c>
      <c r="L30" s="40">
        <f t="shared" si="3"/>
        <v>0</v>
      </c>
      <c r="M30" s="289">
        <f t="shared" ref="M30:M37" si="5">L30*0.102</f>
        <v>0</v>
      </c>
      <c r="N30" s="262"/>
      <c r="O30" s="272" t="str">
        <f t="shared" ref="O30:O32" si="6">IF(G30="Yes",$H30-(J30),"")</f>
        <v/>
      </c>
    </row>
    <row r="31" spans="1:15" ht="30" customHeight="1" x14ac:dyDescent="0.25">
      <c r="A31" s="89"/>
      <c r="B31" s="292"/>
      <c r="C31" s="90"/>
      <c r="D31" s="293"/>
      <c r="E31" s="294">
        <v>2026</v>
      </c>
      <c r="F31" s="40">
        <f>IF(D31="NIH",Lookup!$M$3,IF(D31="NSF",Lookup!$L$17,IF(D31="NIFA",Lookup!$M$23,IF(D31="Other",$C$44,0))))</f>
        <v>0</v>
      </c>
      <c r="G31" s="298" t="s">
        <v>21</v>
      </c>
      <c r="H31" s="44">
        <f t="shared" si="0"/>
        <v>0</v>
      </c>
      <c r="I31" s="302" t="str">
        <f t="shared" si="1"/>
        <v>No</v>
      </c>
      <c r="J31" s="46">
        <f t="shared" si="2"/>
        <v>0</v>
      </c>
      <c r="K31" s="40">
        <f t="shared" si="4"/>
        <v>0</v>
      </c>
      <c r="L31" s="40">
        <f t="shared" si="3"/>
        <v>0</v>
      </c>
      <c r="M31" s="289">
        <f t="shared" si="5"/>
        <v>0</v>
      </c>
      <c r="N31" s="262"/>
      <c r="O31" s="272" t="str">
        <f t="shared" si="6"/>
        <v/>
      </c>
    </row>
    <row r="32" spans="1:15" ht="30" customHeight="1" x14ac:dyDescent="0.25">
      <c r="A32" s="89"/>
      <c r="B32" s="292"/>
      <c r="C32" s="90"/>
      <c r="D32" s="293"/>
      <c r="E32" s="294">
        <v>2026</v>
      </c>
      <c r="F32" s="40">
        <f>IF(D32="NIH",Lookup!$M$3,IF(D32="NSF",Lookup!$L$17,IF(D32="NIFA",Lookup!$M$23,IF(D32="Other",$C$44,0))))</f>
        <v>0</v>
      </c>
      <c r="G32" s="298" t="s">
        <v>21</v>
      </c>
      <c r="H32" s="44">
        <f t="shared" si="0"/>
        <v>0</v>
      </c>
      <c r="I32" s="302" t="str">
        <f t="shared" si="1"/>
        <v>No</v>
      </c>
      <c r="J32" s="46">
        <f t="shared" si="2"/>
        <v>0</v>
      </c>
      <c r="K32" s="40">
        <f t="shared" si="4"/>
        <v>0</v>
      </c>
      <c r="L32" s="40">
        <f t="shared" si="3"/>
        <v>0</v>
      </c>
      <c r="M32" s="289">
        <f t="shared" si="5"/>
        <v>0</v>
      </c>
      <c r="N32" s="262"/>
      <c r="O32" s="272" t="str">
        <f t="shared" si="6"/>
        <v/>
      </c>
    </row>
    <row r="33" spans="1:15" ht="30" customHeight="1" x14ac:dyDescent="0.25">
      <c r="A33" s="89"/>
      <c r="B33" s="292"/>
      <c r="C33" s="90"/>
      <c r="D33" s="293"/>
      <c r="E33" s="294">
        <v>2026</v>
      </c>
      <c r="F33" s="40">
        <f>IF(D33="NIH",Lookup!$M$3,IF(D33="NSF",Lookup!$L$17,IF(D33="NIFA",Lookup!$M$23,IF(D33="Other",$C$44,0))))</f>
        <v>0</v>
      </c>
      <c r="G33" s="298" t="s">
        <v>21</v>
      </c>
      <c r="H33" s="44">
        <f t="shared" si="0"/>
        <v>0</v>
      </c>
      <c r="I33" s="302" t="str">
        <f t="shared" si="1"/>
        <v>No</v>
      </c>
      <c r="J33" s="46">
        <f t="shared" si="2"/>
        <v>0</v>
      </c>
      <c r="K33" s="40">
        <f t="shared" si="4"/>
        <v>0</v>
      </c>
      <c r="L33" s="40">
        <f t="shared" si="3"/>
        <v>0</v>
      </c>
      <c r="M33" s="289">
        <f t="shared" si="5"/>
        <v>0</v>
      </c>
      <c r="N33" s="262"/>
      <c r="O33" s="272" t="str">
        <f>IF(G33="Yes",$H33-(J33),"")</f>
        <v/>
      </c>
    </row>
    <row r="34" spans="1:15" ht="30" customHeight="1" x14ac:dyDescent="0.25">
      <c r="A34" s="89"/>
      <c r="B34" s="292"/>
      <c r="C34" s="90"/>
      <c r="D34" s="293"/>
      <c r="E34" s="294">
        <v>2026</v>
      </c>
      <c r="F34" s="40">
        <f>IF(D34="NIH",Lookup!$M$3,IF(D34="NSF",Lookup!$L$17,IF(D34="NIFA",Lookup!$M$23,IF(D34="Other",$C$44,0))))</f>
        <v>0</v>
      </c>
      <c r="G34" s="298" t="s">
        <v>21</v>
      </c>
      <c r="H34" s="44">
        <f t="shared" si="0"/>
        <v>0</v>
      </c>
      <c r="I34" s="302" t="str">
        <f t="shared" si="1"/>
        <v>No</v>
      </c>
      <c r="J34" s="46">
        <f t="shared" si="2"/>
        <v>0</v>
      </c>
      <c r="K34" s="40">
        <f t="shared" si="4"/>
        <v>0</v>
      </c>
      <c r="L34" s="40">
        <f t="shared" si="3"/>
        <v>0</v>
      </c>
      <c r="M34" s="289">
        <f t="shared" si="5"/>
        <v>0</v>
      </c>
      <c r="N34" s="262"/>
      <c r="O34" s="272" t="str">
        <f t="shared" ref="O34:O37" si="7">IF(G34="Yes",$H34-(J34),"")</f>
        <v/>
      </c>
    </row>
    <row r="35" spans="1:15" ht="30" customHeight="1" x14ac:dyDescent="0.25">
      <c r="A35" s="89"/>
      <c r="B35" s="292"/>
      <c r="C35" s="90"/>
      <c r="D35" s="293"/>
      <c r="E35" s="294">
        <v>2026</v>
      </c>
      <c r="F35" s="40">
        <f>IF(D35="NIH",Lookup!$M$3,IF(D35="NSF",Lookup!$L$17,IF(D35="NIFA",Lookup!$M$23,IF(D35="Other",$C$44,0))))</f>
        <v>0</v>
      </c>
      <c r="G35" s="298" t="s">
        <v>21</v>
      </c>
      <c r="H35" s="44">
        <f t="shared" si="0"/>
        <v>0</v>
      </c>
      <c r="I35" s="302" t="str">
        <f t="shared" si="1"/>
        <v>No</v>
      </c>
      <c r="J35" s="46">
        <f t="shared" si="2"/>
        <v>0</v>
      </c>
      <c r="K35" s="40">
        <f t="shared" si="4"/>
        <v>0</v>
      </c>
      <c r="L35" s="40">
        <f t="shared" si="3"/>
        <v>0</v>
      </c>
      <c r="M35" s="289">
        <f t="shared" si="5"/>
        <v>0</v>
      </c>
      <c r="N35" s="262"/>
      <c r="O35" s="272" t="str">
        <f t="shared" si="7"/>
        <v/>
      </c>
    </row>
    <row r="36" spans="1:15" ht="30" customHeight="1" x14ac:dyDescent="0.25">
      <c r="A36" s="89"/>
      <c r="B36" s="292"/>
      <c r="C36" s="90"/>
      <c r="D36" s="293"/>
      <c r="E36" s="294">
        <v>2026</v>
      </c>
      <c r="F36" s="40">
        <f>IF(D36="NIH",Lookup!$M$3,IF(D36="NSF",Lookup!$L$17,IF(D36="NIFA",Lookup!$M$23,IF(D36="Other",$C$44,0))))</f>
        <v>0</v>
      </c>
      <c r="G36" s="298" t="s">
        <v>21</v>
      </c>
      <c r="H36" s="44">
        <f t="shared" si="0"/>
        <v>0</v>
      </c>
      <c r="I36" s="302" t="str">
        <f t="shared" si="1"/>
        <v>No</v>
      </c>
      <c r="J36" s="46">
        <f t="shared" si="2"/>
        <v>0</v>
      </c>
      <c r="K36" s="40">
        <f t="shared" si="4"/>
        <v>0</v>
      </c>
      <c r="L36" s="40">
        <f t="shared" si="3"/>
        <v>0</v>
      </c>
      <c r="M36" s="289">
        <f t="shared" si="5"/>
        <v>0</v>
      </c>
      <c r="N36" s="262"/>
      <c r="O36" s="272" t="str">
        <f t="shared" si="7"/>
        <v/>
      </c>
    </row>
    <row r="37" spans="1:15" ht="30" customHeight="1" x14ac:dyDescent="0.25">
      <c r="A37" s="91"/>
      <c r="B37" s="295"/>
      <c r="C37" s="92"/>
      <c r="D37" s="296"/>
      <c r="E37" s="294">
        <v>2026</v>
      </c>
      <c r="F37" s="40">
        <f>IF(D37="NIH",Lookup!$M$3,IF(D37="NSF",Lookup!$L$17,IF(D37="NIFA",Lookup!$M$23,IF(D37="Other",$C$44,0))))</f>
        <v>0</v>
      </c>
      <c r="G37" s="299" t="s">
        <v>21</v>
      </c>
      <c r="H37" s="47">
        <f t="shared" si="0"/>
        <v>0</v>
      </c>
      <c r="I37" s="303" t="str">
        <f t="shared" si="1"/>
        <v>No</v>
      </c>
      <c r="J37" s="46">
        <f t="shared" si="2"/>
        <v>0</v>
      </c>
      <c r="K37" s="40">
        <f>J37*0.102</f>
        <v>0</v>
      </c>
      <c r="L37" s="40">
        <f t="shared" si="3"/>
        <v>0</v>
      </c>
      <c r="M37" s="289">
        <f t="shared" si="5"/>
        <v>0</v>
      </c>
      <c r="N37" s="263"/>
      <c r="O37" s="272" t="str">
        <f t="shared" si="7"/>
        <v/>
      </c>
    </row>
    <row r="38" spans="1:15" ht="18.75" customHeight="1" x14ac:dyDescent="0.25">
      <c r="A38" s="234" t="s">
        <v>217</v>
      </c>
      <c r="B38" s="234"/>
      <c r="C38" s="238">
        <f>SUM(C28:C37)</f>
        <v>0</v>
      </c>
      <c r="D38" s="234"/>
      <c r="E38" s="234"/>
      <c r="F38" s="235"/>
      <c r="G38" s="234"/>
      <c r="H38" s="235">
        <f>SUM(H28:H37)</f>
        <v>0</v>
      </c>
      <c r="I38" s="236"/>
      <c r="J38" s="235">
        <f>SUM(J28:J37)</f>
        <v>0</v>
      </c>
      <c r="K38" s="235">
        <f>SUM(K28:K37)</f>
        <v>0</v>
      </c>
      <c r="L38" s="235">
        <f>SUM(L28:L37)</f>
        <v>0</v>
      </c>
      <c r="M38" s="235">
        <f>SUM(M28:M37)</f>
        <v>0</v>
      </c>
      <c r="N38" s="234"/>
      <c r="O38" s="234"/>
    </row>
    <row r="39" spans="1:15" ht="25.5" customHeight="1" x14ac:dyDescent="0.25">
      <c r="A39" s="366" t="s">
        <v>502</v>
      </c>
      <c r="B39" s="366"/>
      <c r="C39" s="366"/>
      <c r="D39" s="366"/>
      <c r="E39" s="366"/>
      <c r="F39" s="366"/>
      <c r="G39" s="366"/>
      <c r="H39" s="366"/>
      <c r="I39" s="366"/>
      <c r="J39" s="366"/>
      <c r="K39" s="366"/>
      <c r="L39" s="366"/>
      <c r="M39" s="366"/>
      <c r="N39" s="300"/>
    </row>
    <row r="40" spans="1:15" ht="19.5" customHeight="1" x14ac:dyDescent="0.25">
      <c r="A40" s="253" t="s">
        <v>428</v>
      </c>
      <c r="B40" s="249"/>
      <c r="C40" s="249"/>
      <c r="D40" s="249"/>
      <c r="E40" s="249"/>
      <c r="F40" s="249"/>
      <c r="G40" s="249"/>
      <c r="H40" s="249"/>
      <c r="I40" s="249"/>
      <c r="J40" s="249"/>
      <c r="K40" s="249"/>
      <c r="L40" s="249"/>
      <c r="M40" s="249"/>
      <c r="N40" s="249"/>
    </row>
    <row r="41" spans="1:15" ht="9" customHeight="1" x14ac:dyDescent="0.25">
      <c r="A41" s="253"/>
      <c r="B41" s="249"/>
      <c r="C41" s="249"/>
      <c r="D41" s="249"/>
      <c r="E41" s="249"/>
      <c r="F41" s="249"/>
      <c r="G41" s="249"/>
      <c r="H41" s="249"/>
      <c r="I41" s="249"/>
      <c r="J41" s="249"/>
      <c r="K41" s="249"/>
      <c r="L41" s="249"/>
      <c r="M41" s="249"/>
      <c r="N41" s="249"/>
    </row>
    <row r="42" spans="1:15" x14ac:dyDescent="0.25">
      <c r="A42" s="23" t="s">
        <v>50</v>
      </c>
      <c r="B42" s="21"/>
      <c r="C42" s="86">
        <v>0</v>
      </c>
    </row>
    <row r="43" spans="1:15" ht="7.5" customHeight="1" x14ac:dyDescent="0.25"/>
    <row r="44" spans="1:15" x14ac:dyDescent="0.25">
      <c r="B44" t="s">
        <v>16</v>
      </c>
      <c r="C44" s="85"/>
      <c r="D44" s="4" t="s">
        <v>387</v>
      </c>
      <c r="E44" t="s">
        <v>388</v>
      </c>
      <c r="G44" s="86"/>
      <c r="J44" s="4" t="s">
        <v>410</v>
      </c>
      <c r="K44" s="185" t="str">
        <f>IFERROR(G44/G23,"0")</f>
        <v>0</v>
      </c>
    </row>
    <row r="45" spans="1:15" ht="7.5" customHeight="1" x14ac:dyDescent="0.25"/>
    <row r="46" spans="1:15" x14ac:dyDescent="0.25">
      <c r="B46" t="s">
        <v>506</v>
      </c>
      <c r="J46" s="85"/>
      <c r="L46" s="3"/>
    </row>
    <row r="47" spans="1:15" ht="7.5" customHeight="1" x14ac:dyDescent="0.25"/>
    <row r="48" spans="1:15" x14ac:dyDescent="0.25">
      <c r="B48" t="s">
        <v>17</v>
      </c>
      <c r="E48" s="85"/>
    </row>
    <row r="49" spans="1:14" ht="7.5" customHeight="1" x14ac:dyDescent="0.25"/>
    <row r="50" spans="1:14" ht="15" customHeight="1" x14ac:dyDescent="0.25">
      <c r="B50" t="s">
        <v>393</v>
      </c>
    </row>
    <row r="51" spans="1:14" ht="7.5" customHeight="1" x14ac:dyDescent="0.25"/>
    <row r="52" spans="1:14" ht="21.75" customHeight="1" x14ac:dyDescent="0.25">
      <c r="A52" t="s">
        <v>18</v>
      </c>
      <c r="C52" s="368"/>
      <c r="D52" s="368"/>
      <c r="E52" s="368"/>
      <c r="F52" s="368"/>
      <c r="G52" s="368"/>
      <c r="I52" s="373"/>
      <c r="J52" s="373"/>
    </row>
    <row r="53" spans="1:14" ht="15" customHeight="1" x14ac:dyDescent="0.25">
      <c r="C53" s="19"/>
      <c r="D53" s="26" t="s">
        <v>285</v>
      </c>
      <c r="J53" s="26" t="s">
        <v>65</v>
      </c>
    </row>
    <row r="54" spans="1:14" ht="15" customHeight="1" x14ac:dyDescent="0.25">
      <c r="C54" s="20" t="s">
        <v>290</v>
      </c>
      <c r="D54" s="26"/>
      <c r="J54" s="26"/>
    </row>
    <row r="55" spans="1:14" ht="10.5" customHeight="1" x14ac:dyDescent="0.25">
      <c r="C55" s="19"/>
    </row>
    <row r="56" spans="1:14" x14ac:dyDescent="0.25">
      <c r="A56" s="131" t="s">
        <v>19</v>
      </c>
      <c r="B56" s="130" t="s">
        <v>107</v>
      </c>
      <c r="C56" s="130"/>
      <c r="D56" s="130"/>
      <c r="E56" s="130"/>
      <c r="F56" s="130"/>
      <c r="G56" s="130"/>
      <c r="H56" s="130"/>
      <c r="I56" s="130"/>
      <c r="J56" s="130"/>
      <c r="K56" s="130"/>
      <c r="L56" s="130"/>
      <c r="M56" s="130"/>
      <c r="N56" s="130"/>
    </row>
    <row r="57" spans="1:14" ht="7.5" customHeight="1" x14ac:dyDescent="0.25"/>
    <row r="58" spans="1:14" x14ac:dyDescent="0.25">
      <c r="A58" s="182" t="s">
        <v>113</v>
      </c>
      <c r="B58" s="183"/>
      <c r="C58" s="183"/>
      <c r="D58" s="183"/>
      <c r="E58" s="183"/>
      <c r="F58" s="183"/>
      <c r="G58" s="183"/>
      <c r="H58" s="183"/>
      <c r="I58" s="183"/>
      <c r="J58" s="183"/>
      <c r="K58" s="184"/>
    </row>
    <row r="59" spans="1:14" x14ac:dyDescent="0.25">
      <c r="A59" s="7"/>
      <c r="B59" t="s">
        <v>59</v>
      </c>
      <c r="C59" s="4" t="s">
        <v>60</v>
      </c>
      <c r="D59" s="31">
        <f>SUMIF(D28:D37,"NSF",C28:C37)</f>
        <v>0</v>
      </c>
      <c r="F59" s="4" t="s">
        <v>61</v>
      </c>
      <c r="G59" s="73">
        <f>SUMIF(D28:D37,"NSF",J28:J37)</f>
        <v>0</v>
      </c>
      <c r="K59" s="8"/>
    </row>
    <row r="60" spans="1:14" ht="7.5" customHeight="1" x14ac:dyDescent="0.25">
      <c r="A60" s="7"/>
      <c r="K60" s="8"/>
    </row>
    <row r="61" spans="1:14" x14ac:dyDescent="0.25">
      <c r="A61" s="7"/>
      <c r="B61" t="s">
        <v>57</v>
      </c>
      <c r="I61" s="368"/>
      <c r="J61" s="368"/>
      <c r="K61" s="8"/>
    </row>
    <row r="62" spans="1:14" ht="7.5" customHeight="1" x14ac:dyDescent="0.25">
      <c r="A62" s="7"/>
      <c r="K62" s="8"/>
    </row>
    <row r="63" spans="1:14" x14ac:dyDescent="0.25">
      <c r="A63" s="7"/>
      <c r="B63" t="s">
        <v>62</v>
      </c>
      <c r="F63" s="4" t="s">
        <v>102</v>
      </c>
      <c r="G63" s="86">
        <v>0</v>
      </c>
      <c r="J63" s="4" t="s">
        <v>103</v>
      </c>
      <c r="K63" s="93"/>
    </row>
    <row r="64" spans="1:14" ht="7.5" customHeight="1" x14ac:dyDescent="0.25">
      <c r="A64" s="7"/>
      <c r="K64" s="8"/>
    </row>
    <row r="65" spans="1:13" x14ac:dyDescent="0.25">
      <c r="A65" s="7"/>
      <c r="F65" s="4" t="s">
        <v>105</v>
      </c>
      <c r="G65" s="31">
        <f>G59+G63</f>
        <v>0</v>
      </c>
      <c r="J65" s="4" t="s">
        <v>104</v>
      </c>
      <c r="K65" s="72">
        <f>K63+D59</f>
        <v>0</v>
      </c>
      <c r="M65" s="33"/>
    </row>
    <row r="66" spans="1:13" x14ac:dyDescent="0.25">
      <c r="A66" s="7"/>
      <c r="K66" s="8"/>
    </row>
    <row r="67" spans="1:13" x14ac:dyDescent="0.25">
      <c r="A67" s="7"/>
      <c r="B67" t="s">
        <v>106</v>
      </c>
      <c r="G67" s="59" t="str">
        <f>IF(OR(K65&gt;2,G65&gt;Lookup!L20+0.01),"YES, OVER CAP","No")</f>
        <v>No</v>
      </c>
      <c r="K67" s="8"/>
    </row>
    <row r="68" spans="1:13" x14ac:dyDescent="0.25">
      <c r="A68" s="9"/>
      <c r="B68" s="10" t="s">
        <v>58</v>
      </c>
      <c r="C68" s="10"/>
      <c r="D68" s="10"/>
      <c r="E68" s="10"/>
      <c r="F68" s="10"/>
      <c r="G68" s="10"/>
      <c r="H68" s="10"/>
      <c r="I68" s="10"/>
      <c r="J68" s="10"/>
      <c r="K68" s="11"/>
    </row>
    <row r="69" spans="1:13" ht="9.75" customHeight="1" x14ac:dyDescent="0.25"/>
    <row r="70" spans="1:13" x14ac:dyDescent="0.25">
      <c r="A70" s="182" t="s">
        <v>114</v>
      </c>
      <c r="B70" s="183"/>
      <c r="C70" s="183"/>
      <c r="D70" s="183"/>
      <c r="E70" s="183"/>
      <c r="F70" s="183"/>
      <c r="G70" s="184"/>
    </row>
    <row r="71" spans="1:13" x14ac:dyDescent="0.25">
      <c r="A71" s="7"/>
      <c r="C71" s="2" t="s">
        <v>11</v>
      </c>
      <c r="D71" s="2" t="s">
        <v>108</v>
      </c>
      <c r="E71" s="2" t="s">
        <v>110</v>
      </c>
      <c r="F71" s="2" t="s">
        <v>109</v>
      </c>
      <c r="G71" s="52" t="s">
        <v>111</v>
      </c>
    </row>
    <row r="72" spans="1:13" x14ac:dyDescent="0.25">
      <c r="A72" s="7"/>
      <c r="B72" s="130" t="s">
        <v>112</v>
      </c>
      <c r="C72" t="s">
        <v>37</v>
      </c>
      <c r="D72" s="14">
        <f>SUMIFS($M$28:$M$37,$A$28:$A$37,C72,$D$28:$D$37,"NIH")</f>
        <v>0</v>
      </c>
      <c r="E72" s="12">
        <f>SUMIFS($C$28:$C$37,$A$28:$A$37,C72,$D$28:$D$37,"NIH")</f>
        <v>0</v>
      </c>
      <c r="F72" s="14">
        <f>E72*$B$73</f>
        <v>0</v>
      </c>
      <c r="G72" s="37" t="str">
        <f>IF(F72&lt;D72,"OVER CAP",IF(E72&gt;1,"OVER CAP",""))</f>
        <v/>
      </c>
    </row>
    <row r="73" spans="1:13" x14ac:dyDescent="0.25">
      <c r="A73" s="7"/>
      <c r="B73" s="177">
        <f>Lookup!M2</f>
        <v>19000</v>
      </c>
      <c r="C73" t="s">
        <v>38</v>
      </c>
      <c r="D73" s="14">
        <f>SUMIFS($M$28:$M$37,$A$28:$A$37,C73,$D$28:$D$37,"NIH")</f>
        <v>0</v>
      </c>
      <c r="E73" s="12">
        <f t="shared" ref="E73:E75" si="8">SUMIFS($C$28:$C$37,$A$28:$A$37,C73,$D$28:$D$37,"NIH")</f>
        <v>0</v>
      </c>
      <c r="F73" s="14">
        <f>E73*$B$73</f>
        <v>0</v>
      </c>
      <c r="G73" s="37" t="str">
        <f t="shared" ref="G73:G75" si="9">IF(F73&lt;D73,"OVER CAP",IF(E73&gt;1,"OVER CAP",""))</f>
        <v/>
      </c>
    </row>
    <row r="74" spans="1:13" x14ac:dyDescent="0.25">
      <c r="A74" s="7"/>
      <c r="C74" t="s">
        <v>39</v>
      </c>
      <c r="D74" s="14">
        <f>SUMIFS($M$28:$M$37,$A$28:$A$37,C74,$D$28:$D$37,"NIH")</f>
        <v>0</v>
      </c>
      <c r="E74" s="12">
        <f t="shared" si="8"/>
        <v>0</v>
      </c>
      <c r="F74" s="14">
        <f>E74*$B$73</f>
        <v>0</v>
      </c>
      <c r="G74" s="37" t="str">
        <f t="shared" si="9"/>
        <v/>
      </c>
    </row>
    <row r="75" spans="1:13" x14ac:dyDescent="0.25">
      <c r="A75" s="9"/>
      <c r="B75" s="10"/>
      <c r="C75" s="10" t="s">
        <v>40</v>
      </c>
      <c r="D75" s="5">
        <f>SUMIFS($M$28:$M$37,$A$28:$A$37,C75,$D$28:$D$37,"NIH")</f>
        <v>0</v>
      </c>
      <c r="E75" s="13">
        <f t="shared" si="8"/>
        <v>0</v>
      </c>
      <c r="F75" s="5">
        <f>E75*$B$73</f>
        <v>0</v>
      </c>
      <c r="G75" s="38" t="str">
        <f t="shared" si="9"/>
        <v/>
      </c>
      <c r="H75" t="s">
        <v>439</v>
      </c>
    </row>
    <row r="76" spans="1:13" ht="6.75" customHeight="1" x14ac:dyDescent="0.25"/>
    <row r="77" spans="1:13" ht="15" customHeight="1" x14ac:dyDescent="0.25">
      <c r="A77" s="182" t="s">
        <v>239</v>
      </c>
      <c r="B77" s="183"/>
      <c r="C77" s="183"/>
      <c r="D77" s="183"/>
      <c r="E77" s="183"/>
      <c r="F77" s="183"/>
      <c r="G77" s="184"/>
    </row>
    <row r="78" spans="1:13" ht="15" customHeight="1" x14ac:dyDescent="0.25">
      <c r="A78" s="7"/>
      <c r="C78" s="2" t="s">
        <v>11</v>
      </c>
      <c r="D78" s="2" t="s">
        <v>108</v>
      </c>
      <c r="E78" s="2" t="s">
        <v>110</v>
      </c>
      <c r="F78" s="2" t="s">
        <v>109</v>
      </c>
      <c r="G78" s="52" t="s">
        <v>111</v>
      </c>
    </row>
    <row r="79" spans="1:13" ht="15" customHeight="1" x14ac:dyDescent="0.25">
      <c r="A79" s="7"/>
      <c r="B79" s="130" t="s">
        <v>240</v>
      </c>
      <c r="C79" t="s">
        <v>37</v>
      </c>
      <c r="D79" s="14">
        <f>SUMIFS($M$28:$M$37,$A$28:$A$37,C79,$D$28:$D$37,"NIFA")</f>
        <v>0</v>
      </c>
      <c r="E79" s="12">
        <f>SUMIFS($C$28:$C$37,$A$28:$A$37,C79,$D$28:$D$37,"NIFA")</f>
        <v>0</v>
      </c>
      <c r="F79" s="14">
        <f>E79*$B$80</f>
        <v>0</v>
      </c>
      <c r="G79" s="37" t="str">
        <f>IF(F79&lt;D79,"OVER CAP",IF(E79&gt;1,"OVER CAP",""))</f>
        <v/>
      </c>
    </row>
    <row r="80" spans="1:13" ht="15" customHeight="1" x14ac:dyDescent="0.25">
      <c r="A80" s="7"/>
      <c r="B80" s="177">
        <f>Lookup!M23</f>
        <v>16433.333333333332</v>
      </c>
      <c r="C80" t="s">
        <v>38</v>
      </c>
      <c r="D80" s="14">
        <f>SUMIFS($M$28:$M$37,$A$28:$A$37,C80,$D$28:$D$37,"NIFA")</f>
        <v>0</v>
      </c>
      <c r="E80" s="12">
        <f>SUMIFS($C$28:$C$37,$A$28:$A$37,C80,$D$28:$D$37,"NIFA")</f>
        <v>0</v>
      </c>
      <c r="F80" s="14">
        <f>E80*$B$80</f>
        <v>0</v>
      </c>
      <c r="G80" s="37" t="str">
        <f t="shared" ref="G80:G82" si="10">IF(F80&lt;D80,"OVER CAP",IF(E80&gt;1,"OVER CAP",""))</f>
        <v/>
      </c>
    </row>
    <row r="81" spans="1:14" ht="15" customHeight="1" x14ac:dyDescent="0.25">
      <c r="A81" s="7"/>
      <c r="C81" t="s">
        <v>39</v>
      </c>
      <c r="D81" s="14">
        <f>SUMIFS($M$28:$M$37,$A$28:$A$37,C81,$D$28:$D$37,"NIFA")</f>
        <v>0</v>
      </c>
      <c r="E81" s="12">
        <f>SUMIFS($C$28:$C$37,$A$28:$A$37,C81,$D$28:$D$37,"NIFA")</f>
        <v>0</v>
      </c>
      <c r="F81" s="14">
        <f>E81*$B$80</f>
        <v>0</v>
      </c>
      <c r="G81" s="37" t="str">
        <f t="shared" si="10"/>
        <v/>
      </c>
    </row>
    <row r="82" spans="1:14" ht="15" customHeight="1" x14ac:dyDescent="0.25">
      <c r="A82" s="9"/>
      <c r="B82" s="10"/>
      <c r="C82" s="10" t="s">
        <v>40</v>
      </c>
      <c r="D82" s="5">
        <f>SUMIFS($M$28:$M$37,$A$28:$A$37,C82,$D$28:$D$37,"NIFA")</f>
        <v>0</v>
      </c>
      <c r="E82" s="13">
        <f>SUMIFS($C$28:$C$37,$A$28:$A$37,C82,$D$28:$D$37,"NIFA")</f>
        <v>0</v>
      </c>
      <c r="F82" s="5">
        <f>E82*$B$80</f>
        <v>0</v>
      </c>
      <c r="G82" s="38" t="str">
        <f t="shared" si="10"/>
        <v/>
      </c>
    </row>
    <row r="83" spans="1:14" ht="6.75" customHeight="1" x14ac:dyDescent="0.25"/>
    <row r="84" spans="1:14" x14ac:dyDescent="0.25">
      <c r="A84" s="182" t="s">
        <v>115</v>
      </c>
      <c r="B84" s="183"/>
      <c r="C84" s="183"/>
      <c r="D84" s="183"/>
      <c r="E84" s="183"/>
      <c r="F84" s="183"/>
      <c r="G84" s="184"/>
    </row>
    <row r="85" spans="1:14" x14ac:dyDescent="0.25">
      <c r="A85" s="7"/>
      <c r="B85" t="s">
        <v>11</v>
      </c>
      <c r="C85" t="s">
        <v>116</v>
      </c>
      <c r="D85" t="s">
        <v>118</v>
      </c>
      <c r="E85" s="107" t="s">
        <v>230</v>
      </c>
      <c r="G85" s="8"/>
    </row>
    <row r="86" spans="1:14" x14ac:dyDescent="0.25">
      <c r="A86" s="7"/>
      <c r="B86" t="s">
        <v>37</v>
      </c>
      <c r="C86" s="12">
        <f>SUMIF($A$28:$A$37,B86,C28:$C$37)</f>
        <v>0</v>
      </c>
      <c r="D86" s="36" t="str">
        <f>IF(C86&gt;1,"OVER CAP","")</f>
        <v/>
      </c>
      <c r="E86" s="108" t="str">
        <f>IF(C86&gt;D12,"OVER CAP","")</f>
        <v/>
      </c>
      <c r="G86" s="8"/>
    </row>
    <row r="87" spans="1:14" x14ac:dyDescent="0.25">
      <c r="A87" s="7"/>
      <c r="B87" t="s">
        <v>38</v>
      </c>
      <c r="C87" s="12">
        <f>SUMIF($A$28:$A$37,B87,C28:$C$37)</f>
        <v>0</v>
      </c>
      <c r="D87" s="36" t="str">
        <f t="shared" ref="D87:D90" si="11">IF(C87&gt;1,"OVER CAP","")</f>
        <v/>
      </c>
      <c r="E87" s="108" t="str">
        <f>IF(C87&gt;F12,"OVER CAP","")</f>
        <v/>
      </c>
      <c r="G87" s="8"/>
    </row>
    <row r="88" spans="1:14" x14ac:dyDescent="0.25">
      <c r="A88" s="7"/>
      <c r="B88" t="s">
        <v>39</v>
      </c>
      <c r="C88" s="12">
        <f>SUMIF($A$28:$A$37,B88,C28:$C$37)</f>
        <v>0</v>
      </c>
      <c r="D88" s="36" t="str">
        <f t="shared" si="11"/>
        <v/>
      </c>
      <c r="E88" s="108" t="str">
        <f>IF(C88&gt;H12,"OVER CAP","")</f>
        <v/>
      </c>
      <c r="G88" s="8"/>
    </row>
    <row r="89" spans="1:14" x14ac:dyDescent="0.25">
      <c r="A89" s="7"/>
      <c r="B89" t="s">
        <v>40</v>
      </c>
      <c r="C89" s="12">
        <f>SUMIF($A$28:$A$37,B89,C28:$C$37)</f>
        <v>0</v>
      </c>
      <c r="D89" s="36" t="str">
        <f t="shared" si="11"/>
        <v/>
      </c>
      <c r="E89" s="108" t="str">
        <f>IF(C89&gt;K12,"OVER CAP","")</f>
        <v/>
      </c>
      <c r="G89" s="8"/>
    </row>
    <row r="90" spans="1:14" x14ac:dyDescent="0.25">
      <c r="A90" s="7"/>
      <c r="B90" t="s">
        <v>117</v>
      </c>
      <c r="C90" s="12">
        <f>SUMIF($A$28:$A$37,"June",C28:$C$37)+SUMIF($A$28:$A$37,"September",C28:$C$37)</f>
        <v>0</v>
      </c>
      <c r="D90" s="36" t="str">
        <f t="shared" si="11"/>
        <v/>
      </c>
      <c r="E90" s="108"/>
      <c r="G90" s="8"/>
    </row>
    <row r="91" spans="1:14" x14ac:dyDescent="0.25">
      <c r="B91" t="s">
        <v>409</v>
      </c>
      <c r="C91" s="12">
        <f>SUM(C28:C37)+K44</f>
        <v>0</v>
      </c>
      <c r="D91" s="36" t="str">
        <f>IF(C91&gt;3,"OVER CAP","")</f>
        <v/>
      </c>
      <c r="E91" s="108"/>
      <c r="G91" s="8"/>
    </row>
    <row r="92" spans="1:14" ht="5.25" customHeight="1" x14ac:dyDescent="0.25">
      <c r="A92" s="105"/>
      <c r="C92" s="12"/>
      <c r="D92" s="36"/>
      <c r="E92" s="106"/>
      <c r="G92" s="8"/>
    </row>
    <row r="93" spans="1:14" x14ac:dyDescent="0.25">
      <c r="A93" s="9"/>
      <c r="B93" s="109" t="s">
        <v>229</v>
      </c>
      <c r="C93" s="110"/>
      <c r="D93" s="55"/>
      <c r="E93" s="10"/>
      <c r="F93" s="10"/>
      <c r="G93" s="11"/>
    </row>
    <row r="95" spans="1:14" x14ac:dyDescent="0.25">
      <c r="A95" s="131" t="s">
        <v>63</v>
      </c>
      <c r="B95" s="130" t="s">
        <v>260</v>
      </c>
      <c r="C95" s="130"/>
      <c r="D95" s="130"/>
      <c r="E95" s="130"/>
      <c r="F95" s="130"/>
      <c r="G95" s="130"/>
      <c r="H95" s="130"/>
      <c r="I95" s="130"/>
      <c r="J95" s="130"/>
      <c r="K95" s="130"/>
      <c r="L95" s="130"/>
      <c r="M95" s="130"/>
      <c r="N95" s="130"/>
    </row>
    <row r="96" spans="1:14" ht="8.25" customHeight="1" x14ac:dyDescent="0.25"/>
    <row r="97" spans="1:14" ht="52.5" customHeight="1" x14ac:dyDescent="0.25">
      <c r="A97" s="133" t="s">
        <v>246</v>
      </c>
      <c r="B97" s="356"/>
      <c r="C97" s="357"/>
      <c r="D97" s="357"/>
      <c r="E97" s="357"/>
      <c r="F97" s="357"/>
      <c r="G97" s="357"/>
      <c r="H97" s="357"/>
      <c r="I97" s="357"/>
      <c r="J97" s="357"/>
      <c r="K97" s="357"/>
      <c r="L97" s="357"/>
      <c r="M97" s="357"/>
      <c r="N97" s="358"/>
    </row>
    <row r="98" spans="1:14" ht="8.25" customHeight="1" x14ac:dyDescent="0.25"/>
    <row r="99" spans="1:14" ht="25.5" customHeight="1" x14ac:dyDescent="0.25">
      <c r="B99" s="4" t="s">
        <v>64</v>
      </c>
      <c r="C99" s="369"/>
      <c r="D99" s="369"/>
      <c r="E99" s="369"/>
      <c r="F99" s="369"/>
      <c r="G99" s="369"/>
      <c r="I99" s="370"/>
      <c r="J99" s="370"/>
    </row>
    <row r="100" spans="1:14" x14ac:dyDescent="0.25">
      <c r="D100" s="26" t="s">
        <v>261</v>
      </c>
      <c r="J100" s="26" t="s">
        <v>65</v>
      </c>
    </row>
    <row r="101" spans="1:14" x14ac:dyDescent="0.25">
      <c r="D101" s="26"/>
      <c r="J101" s="26"/>
    </row>
    <row r="102" spans="1:14" x14ac:dyDescent="0.25">
      <c r="A102" s="131" t="s">
        <v>248</v>
      </c>
      <c r="B102" s="130" t="s">
        <v>390</v>
      </c>
      <c r="C102" s="130"/>
      <c r="D102" s="130"/>
      <c r="E102" s="130"/>
      <c r="F102" s="130"/>
      <c r="G102" s="130"/>
      <c r="H102" s="130"/>
      <c r="I102" s="130"/>
      <c r="J102" s="130"/>
      <c r="K102" s="130"/>
      <c r="L102" s="130"/>
      <c r="M102" s="130"/>
      <c r="N102" s="130"/>
    </row>
    <row r="103" spans="1:14" ht="7.5" customHeight="1" x14ac:dyDescent="0.25">
      <c r="D103" s="26"/>
      <c r="J103" s="26"/>
    </row>
    <row r="104" spans="1:14" ht="43.5" customHeight="1" x14ac:dyDescent="0.25">
      <c r="A104" s="133" t="s">
        <v>246</v>
      </c>
      <c r="B104" s="356"/>
      <c r="C104" s="357"/>
      <c r="D104" s="357"/>
      <c r="E104" s="357"/>
      <c r="F104" s="357"/>
      <c r="G104" s="357"/>
      <c r="H104" s="357"/>
      <c r="I104" s="357"/>
      <c r="J104" s="357"/>
      <c r="K104" s="357"/>
      <c r="L104" s="357"/>
      <c r="M104" s="357"/>
      <c r="N104" s="358"/>
    </row>
    <row r="105" spans="1:14" ht="10.5" customHeight="1" x14ac:dyDescent="0.25">
      <c r="D105" s="26"/>
      <c r="J105" s="26"/>
    </row>
    <row r="106" spans="1:14" ht="24" customHeight="1" x14ac:dyDescent="0.25">
      <c r="B106" s="4" t="s">
        <v>391</v>
      </c>
      <c r="C106" s="369"/>
      <c r="D106" s="369"/>
      <c r="E106" s="369"/>
      <c r="F106" s="369"/>
      <c r="G106" s="369"/>
      <c r="I106" s="370"/>
      <c r="J106" s="370"/>
    </row>
    <row r="107" spans="1:14" x14ac:dyDescent="0.25">
      <c r="A107" s="27"/>
      <c r="B107" s="27"/>
      <c r="C107" s="27"/>
      <c r="D107" s="186" t="s">
        <v>396</v>
      </c>
      <c r="E107" s="27"/>
      <c r="F107" s="27"/>
      <c r="G107" s="27"/>
      <c r="H107" s="27"/>
      <c r="I107" s="27"/>
      <c r="J107" s="26" t="s">
        <v>65</v>
      </c>
      <c r="K107" s="27"/>
      <c r="L107" s="27"/>
      <c r="M107" s="27"/>
      <c r="N107" s="27"/>
    </row>
    <row r="109" spans="1:14" x14ac:dyDescent="0.25">
      <c r="A109" s="361" t="s">
        <v>66</v>
      </c>
      <c r="B109" s="361"/>
      <c r="C109" s="361"/>
      <c r="D109" s="361"/>
      <c r="E109" s="361"/>
      <c r="F109" s="361"/>
      <c r="G109" s="361"/>
      <c r="H109" s="361"/>
      <c r="I109" s="361"/>
      <c r="J109" s="361"/>
      <c r="K109" s="361"/>
      <c r="L109" s="361"/>
      <c r="M109" s="361"/>
      <c r="N109" s="361"/>
    </row>
    <row r="110" spans="1:14" x14ac:dyDescent="0.25">
      <c r="A110" t="s">
        <v>67</v>
      </c>
      <c r="B110" s="187">
        <f>I7</f>
        <v>0</v>
      </c>
      <c r="C110" t="s">
        <v>68</v>
      </c>
      <c r="D110" s="6" t="e">
        <f>VLOOKUP(I5,Lookup!$E$26:$G$46,3,0)</f>
        <v>#N/A</v>
      </c>
      <c r="E110" t="s">
        <v>69</v>
      </c>
      <c r="F110" s="83" t="s">
        <v>71</v>
      </c>
      <c r="H110" s="4" t="s">
        <v>70</v>
      </c>
      <c r="I110" s="362"/>
      <c r="J110" s="362"/>
      <c r="K110" s="4" t="s">
        <v>302</v>
      </c>
      <c r="L110" s="174">
        <f>VLOOKUP(F110,Lookup!$H$2:$I$26,2,0)</f>
        <v>500420</v>
      </c>
    </row>
    <row r="111" spans="1:14" ht="7.5" customHeight="1" x14ac:dyDescent="0.25"/>
    <row r="112" spans="1:14" ht="7.5" customHeight="1" x14ac:dyDescent="0.25"/>
    <row r="113" spans="1:14" x14ac:dyDescent="0.25">
      <c r="B113" s="4" t="s">
        <v>98</v>
      </c>
      <c r="C113" s="363"/>
      <c r="D113" s="363"/>
      <c r="E113" s="363"/>
      <c r="F113" s="363"/>
      <c r="G113" s="4" t="s">
        <v>65</v>
      </c>
      <c r="H113" s="364"/>
      <c r="I113" s="364"/>
      <c r="J113" s="364"/>
    </row>
    <row r="115" spans="1:14" ht="15" customHeight="1" x14ac:dyDescent="0.25">
      <c r="A115" s="2" t="s">
        <v>99</v>
      </c>
      <c r="B115" s="28" t="s">
        <v>100</v>
      </c>
      <c r="C115" s="371" t="s">
        <v>101</v>
      </c>
      <c r="D115" s="371"/>
      <c r="E115" s="371"/>
      <c r="F115" s="371"/>
      <c r="G115" s="371"/>
      <c r="H115" s="371"/>
      <c r="I115" s="371"/>
      <c r="J115" s="371"/>
      <c r="K115" s="371"/>
      <c r="L115" s="371"/>
      <c r="M115" s="371"/>
      <c r="N115" s="371"/>
    </row>
    <row r="116" spans="1:14" x14ac:dyDescent="0.25">
      <c r="B116" s="84"/>
      <c r="C116" s="367"/>
      <c r="D116" s="367"/>
      <c r="E116" s="367"/>
      <c r="F116" s="367"/>
      <c r="G116" s="367"/>
      <c r="H116" s="367"/>
      <c r="I116" s="367"/>
      <c r="J116" s="367"/>
      <c r="K116" s="367"/>
      <c r="L116" s="367"/>
      <c r="M116" s="367"/>
      <c r="N116" s="367"/>
    </row>
    <row r="117" spans="1:14" x14ac:dyDescent="0.25">
      <c r="B117" s="84"/>
      <c r="C117" s="367"/>
      <c r="D117" s="367"/>
      <c r="E117" s="367"/>
      <c r="F117" s="367"/>
      <c r="G117" s="367"/>
      <c r="H117" s="367"/>
      <c r="I117" s="367"/>
      <c r="J117" s="367"/>
      <c r="K117" s="367"/>
      <c r="L117" s="367"/>
      <c r="M117" s="367"/>
      <c r="N117" s="367"/>
    </row>
    <row r="118" spans="1:14" x14ac:dyDescent="0.25">
      <c r="B118" s="84"/>
      <c r="C118" s="367"/>
      <c r="D118" s="367"/>
      <c r="E118" s="367"/>
      <c r="F118" s="367"/>
      <c r="G118" s="367"/>
      <c r="H118" s="367"/>
      <c r="I118" s="367"/>
      <c r="J118" s="367"/>
      <c r="K118" s="367"/>
      <c r="L118" s="367"/>
      <c r="M118" s="367"/>
      <c r="N118" s="367"/>
    </row>
    <row r="119" spans="1:14" x14ac:dyDescent="0.25">
      <c r="B119" s="84"/>
      <c r="C119" s="367"/>
      <c r="D119" s="367"/>
      <c r="E119" s="367"/>
      <c r="F119" s="367"/>
      <c r="G119" s="367"/>
      <c r="H119" s="367"/>
      <c r="I119" s="367"/>
      <c r="J119" s="367"/>
      <c r="K119" s="367"/>
      <c r="L119" s="367"/>
      <c r="M119" s="367"/>
      <c r="N119" s="367"/>
    </row>
    <row r="120" spans="1:14" x14ac:dyDescent="0.25">
      <c r="B120" s="84"/>
      <c r="C120" s="367"/>
      <c r="D120" s="367"/>
      <c r="E120" s="367"/>
      <c r="F120" s="367"/>
      <c r="G120" s="367"/>
      <c r="H120" s="367"/>
      <c r="I120" s="367"/>
      <c r="J120" s="367"/>
      <c r="K120" s="367"/>
      <c r="L120" s="367"/>
      <c r="M120" s="367"/>
      <c r="N120" s="367"/>
    </row>
    <row r="121" spans="1:14" x14ac:dyDescent="0.25">
      <c r="B121" s="84"/>
      <c r="C121" s="367"/>
      <c r="D121" s="367"/>
      <c r="E121" s="367"/>
      <c r="F121" s="367"/>
      <c r="G121" s="367"/>
      <c r="H121" s="367"/>
      <c r="I121" s="367"/>
      <c r="J121" s="367"/>
      <c r="K121" s="367"/>
      <c r="L121" s="367"/>
      <c r="M121" s="367"/>
      <c r="N121" s="367"/>
    </row>
  </sheetData>
  <sheetProtection algorithmName="SHA-512" hashValue="cWMtcEfbKY8POwPJGTDq/xf7wBnZRtbnnHa1ZaBNmOMV6BHLRBzCpfo9BXhVPRklHMS4kOxf27TXY81CDJiLRQ==" saltValue="HaE9oJKbPMM51GYb86DJ2g==" spinCount="100000" sheet="1" objects="1" scenarios="1"/>
  <mergeCells count="30">
    <mergeCell ref="A1:N1"/>
    <mergeCell ref="A2:N2"/>
    <mergeCell ref="A3:N3"/>
    <mergeCell ref="B5:C5"/>
    <mergeCell ref="E5:G5"/>
    <mergeCell ref="I5:K5"/>
    <mergeCell ref="I110:J110"/>
    <mergeCell ref="B7:C7"/>
    <mergeCell ref="B14:N14"/>
    <mergeCell ref="C52:G52"/>
    <mergeCell ref="I52:J52"/>
    <mergeCell ref="I61:J61"/>
    <mergeCell ref="B104:N104"/>
    <mergeCell ref="A39:M39"/>
    <mergeCell ref="C119:N119"/>
    <mergeCell ref="C120:N120"/>
    <mergeCell ref="C121:N121"/>
    <mergeCell ref="I7:J7"/>
    <mergeCell ref="C106:G106"/>
    <mergeCell ref="I106:J106"/>
    <mergeCell ref="C113:F113"/>
    <mergeCell ref="H113:J113"/>
    <mergeCell ref="C115:N115"/>
    <mergeCell ref="C116:N116"/>
    <mergeCell ref="C117:N117"/>
    <mergeCell ref="C118:N118"/>
    <mergeCell ref="B97:N97"/>
    <mergeCell ref="C99:G99"/>
    <mergeCell ref="I99:J99"/>
    <mergeCell ref="A109:N109"/>
  </mergeCells>
  <pageMargins left="0.5" right="0.5" top="0.5" bottom="0.5" header="0.5" footer="0.5"/>
  <pageSetup scale="22"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locked="0" defaultSize="0" autoFill="0" autoLine="0" autoPict="0">
                <anchor moveWithCells="1">
                  <from>
                    <xdr:col>8</xdr:col>
                    <xdr:colOff>809625</xdr:colOff>
                    <xdr:row>16</xdr:row>
                    <xdr:rowOff>66675</xdr:rowOff>
                  </from>
                  <to>
                    <xdr:col>9</xdr:col>
                    <xdr:colOff>123825</xdr:colOff>
                    <xdr:row>18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0000000}">
          <x14:formula1>
            <xm:f>Lookup!$C$45:$C$88</xm:f>
          </x14:formula1>
          <xm:sqref>E5:G5</xm:sqref>
        </x14:dataValidation>
        <x14:dataValidation type="list" allowBlank="1" showInputMessage="1" showErrorMessage="1" xr:uid="{00000000-0002-0000-0300-000001000000}">
          <x14:formula1>
            <xm:f>Lookup!$A$32:$A$33</xm:f>
          </x14:formula1>
          <xm:sqref>E7</xm:sqref>
        </x14:dataValidation>
        <x14:dataValidation type="list" allowBlank="1" showInputMessage="1" showErrorMessage="1" xr:uid="{00000000-0002-0000-0300-000002000000}">
          <x14:formula1>
            <xm:f>Lookup!$C$1:$C$7</xm:f>
          </x14:formula1>
          <xm:sqref>D28:D37</xm:sqref>
        </x14:dataValidation>
        <x14:dataValidation type="list" allowBlank="1" showInputMessage="1" showErrorMessage="1" xr:uid="{00000000-0002-0000-0300-000003000000}">
          <x14:formula1>
            <xm:f>Lookup!$A$21:$A$25</xm:f>
          </x14:formula1>
          <xm:sqref>F110</xm:sqref>
        </x14:dataValidation>
        <x14:dataValidation type="list" allowBlank="1" showInputMessage="1" showErrorMessage="1" xr:uid="{00000000-0002-0000-0300-000004000000}">
          <x14:formula1>
            <xm:f>Lookup!$A$11:$A$15</xm:f>
          </x14:formula1>
          <xm:sqref>J46</xm:sqref>
        </x14:dataValidation>
        <x14:dataValidation type="list" allowBlank="1" showInputMessage="1" showErrorMessage="1" xr:uid="{00000000-0002-0000-0300-000005000000}">
          <x14:formula1>
            <xm:f>Lookup!$A$5:$A$8</xm:f>
          </x14:formula1>
          <xm:sqref>A28:A37</xm:sqref>
        </x14:dataValidation>
        <x14:dataValidation type="list" allowBlank="1" showInputMessage="1" showErrorMessage="1" xr:uid="{00000000-0002-0000-0300-000006000000}">
          <x14:formula1>
            <xm:f>Lookup!$A$1:$A$2</xm:f>
          </x14:formula1>
          <xm:sqref>E20 E25 I61:J61 I110:J110 C44 E48 G28:G37</xm:sqref>
        </x14:dataValidation>
        <x14:dataValidation type="list" allowBlank="1" showInputMessage="1" showErrorMessage="1" xr:uid="{00000000-0002-0000-0300-000007000000}">
          <x14:formula1>
            <xm:f>Lookup!$E$32:$E$46</xm:f>
          </x14:formula1>
          <xm:sqref>I5:K5</xm:sqref>
        </x14:dataValidation>
        <x14:dataValidation type="list" allowBlank="1" showInputMessage="1" showErrorMessage="1" xr:uid="{00000000-0002-0000-0300-000009000000}">
          <x14:formula1>
            <xm:f>Lookup!$E$2:$E$26</xm:f>
          </x14:formula1>
          <xm:sqref>I6:K6</xm:sqref>
        </x14:dataValidation>
        <x14:dataValidation type="list" allowBlank="1" showInputMessage="1" showErrorMessage="1" xr:uid="{06008885-42BB-44DB-A857-D2665D7A45BA}">
          <x14:formula1>
            <xm:f>Lookup!$K$2:$K$12</xm:f>
          </x14:formula1>
          <xm:sqref>E28:E37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pageSetUpPr fitToPage="1"/>
  </sheetPr>
  <dimension ref="A1:P126"/>
  <sheetViews>
    <sheetView zoomScale="80" zoomScaleNormal="80" workbookViewId="0">
      <selection activeCell="C90" sqref="C90"/>
    </sheetView>
  </sheetViews>
  <sheetFormatPr defaultRowHeight="15" x14ac:dyDescent="0.25"/>
  <cols>
    <col min="1" max="1" width="14.140625" customWidth="1"/>
    <col min="2" max="2" width="35.5703125" customWidth="1"/>
    <col min="3" max="3" width="14.85546875" customWidth="1"/>
    <col min="4" max="4" width="16.28515625" customWidth="1"/>
    <col min="5" max="5" width="13.85546875" customWidth="1"/>
    <col min="6" max="6" width="14" customWidth="1"/>
    <col min="7" max="7" width="12" customWidth="1"/>
    <col min="8" max="9" width="14.140625" customWidth="1"/>
    <col min="10" max="10" width="15.7109375" customWidth="1"/>
    <col min="11" max="11" width="13" customWidth="1"/>
    <col min="12" max="12" width="15.7109375" customWidth="1"/>
    <col min="13" max="13" width="14.140625" customWidth="1"/>
    <col min="14" max="14" width="43.42578125" customWidth="1"/>
    <col min="16" max="16" width="11.28515625" bestFit="1" customWidth="1"/>
  </cols>
  <sheetData>
    <row r="1" spans="1:14" ht="20.25" customHeight="1" x14ac:dyDescent="0.35">
      <c r="A1" s="350" t="s">
        <v>0</v>
      </c>
      <c r="B1" s="350"/>
      <c r="C1" s="350"/>
      <c r="D1" s="350"/>
      <c r="E1" s="350"/>
      <c r="F1" s="350"/>
      <c r="G1" s="350"/>
      <c r="H1" s="350"/>
      <c r="I1" s="350"/>
      <c r="J1" s="350"/>
      <c r="K1" s="350"/>
      <c r="L1" s="350"/>
      <c r="M1" s="350"/>
      <c r="N1" s="350"/>
    </row>
    <row r="2" spans="1:14" ht="20.25" customHeight="1" x14ac:dyDescent="0.35">
      <c r="A2" s="350" t="s">
        <v>508</v>
      </c>
      <c r="B2" s="350"/>
      <c r="C2" s="350"/>
      <c r="D2" s="350"/>
      <c r="E2" s="350"/>
      <c r="F2" s="350"/>
      <c r="G2" s="350"/>
      <c r="H2" s="350"/>
      <c r="I2" s="350"/>
      <c r="J2" s="350"/>
      <c r="K2" s="350"/>
      <c r="L2" s="350"/>
      <c r="M2" s="350"/>
      <c r="N2" s="350"/>
    </row>
    <row r="3" spans="1:14" ht="15.75" customHeight="1" x14ac:dyDescent="0.25">
      <c r="A3" s="351" t="s">
        <v>411</v>
      </c>
      <c r="B3" s="351"/>
      <c r="C3" s="351"/>
      <c r="D3" s="351"/>
      <c r="E3" s="351"/>
      <c r="F3" s="351"/>
      <c r="G3" s="351"/>
      <c r="H3" s="351"/>
      <c r="I3" s="351"/>
      <c r="J3" s="351"/>
      <c r="K3" s="351"/>
      <c r="L3" s="351"/>
      <c r="M3" s="351"/>
      <c r="N3" s="351"/>
    </row>
    <row r="4" spans="1:14" ht="9" customHeight="1" x14ac:dyDescent="0.25"/>
    <row r="5" spans="1:14" ht="19.5" customHeight="1" x14ac:dyDescent="0.25">
      <c r="A5" s="24" t="s">
        <v>1</v>
      </c>
      <c r="B5" s="377"/>
      <c r="C5" s="377"/>
      <c r="D5" s="24" t="s">
        <v>2</v>
      </c>
      <c r="E5" s="377"/>
      <c r="F5" s="377"/>
      <c r="G5" s="377"/>
      <c r="H5" s="24" t="s">
        <v>3</v>
      </c>
      <c r="I5" s="377"/>
      <c r="J5" s="377"/>
      <c r="K5" s="377"/>
    </row>
    <row r="6" spans="1:14" ht="6.75" customHeight="1" x14ac:dyDescent="0.25">
      <c r="A6" s="4"/>
      <c r="B6" s="18"/>
      <c r="C6" s="18"/>
      <c r="E6" s="18"/>
      <c r="F6" s="18"/>
      <c r="G6" s="18"/>
      <c r="I6" s="18"/>
      <c r="J6" s="18"/>
      <c r="K6" s="18"/>
    </row>
    <row r="7" spans="1:14" ht="18.75" customHeight="1" x14ac:dyDescent="0.25">
      <c r="A7" s="24" t="s">
        <v>247</v>
      </c>
      <c r="B7" s="377"/>
      <c r="C7" s="377"/>
      <c r="D7" s="24" t="s">
        <v>123</v>
      </c>
      <c r="E7" s="4" t="s">
        <v>124</v>
      </c>
      <c r="F7" s="215"/>
      <c r="G7" s="4" t="s">
        <v>125</v>
      </c>
      <c r="H7" s="215"/>
      <c r="J7" s="4" t="s">
        <v>126</v>
      </c>
      <c r="K7" s="215"/>
      <c r="L7" s="4" t="s">
        <v>104</v>
      </c>
      <c r="M7" s="195">
        <f>F7+H7+K7</f>
        <v>0</v>
      </c>
    </row>
    <row r="8" spans="1:14" ht="7.5" customHeight="1" x14ac:dyDescent="0.25">
      <c r="A8" s="24"/>
      <c r="B8" s="49"/>
      <c r="C8" s="49"/>
      <c r="D8" s="4"/>
      <c r="E8" s="4"/>
      <c r="F8" s="154"/>
      <c r="G8" s="4"/>
      <c r="H8" s="154"/>
      <c r="J8" s="4"/>
      <c r="K8" s="154"/>
      <c r="L8" s="4"/>
      <c r="M8" s="35"/>
    </row>
    <row r="9" spans="1:14" ht="18.75" customHeight="1" x14ac:dyDescent="0.25">
      <c r="A9" s="24" t="s">
        <v>245</v>
      </c>
      <c r="B9" s="216"/>
      <c r="C9" s="36" t="str">
        <f>IF(B9="Revision","Revisions require a comment in section 3 explaining the change","")</f>
        <v/>
      </c>
      <c r="D9" s="24" t="s">
        <v>382</v>
      </c>
      <c r="E9" s="375"/>
      <c r="F9" s="375"/>
      <c r="G9" s="4"/>
      <c r="H9" s="154"/>
      <c r="J9" s="4"/>
      <c r="K9" s="154"/>
      <c r="L9" s="4"/>
      <c r="M9" s="35"/>
    </row>
    <row r="10" spans="1:14" ht="9" customHeight="1" x14ac:dyDescent="0.25"/>
    <row r="11" spans="1:14" x14ac:dyDescent="0.25">
      <c r="A11" t="s">
        <v>4</v>
      </c>
    </row>
    <row r="12" spans="1:14" s="34" customFormat="1" ht="19.5" customHeight="1" x14ac:dyDescent="0.25">
      <c r="B12" s="34" t="s">
        <v>42</v>
      </c>
    </row>
    <row r="13" spans="1:14" s="34" customFormat="1" ht="17.25" customHeight="1" x14ac:dyDescent="0.25">
      <c r="B13" s="34" t="s">
        <v>120</v>
      </c>
    </row>
    <row r="14" spans="1:14" s="34" customFormat="1" ht="17.25" customHeight="1" x14ac:dyDescent="0.25">
      <c r="B14" s="34" t="s">
        <v>119</v>
      </c>
      <c r="C14" s="151" t="s">
        <v>497</v>
      </c>
      <c r="D14" s="56">
        <f>Lookup!R4</f>
        <v>0.63160000000000005</v>
      </c>
      <c r="E14" s="151" t="s">
        <v>498</v>
      </c>
      <c r="F14" s="56">
        <f>Lookup!R5</f>
        <v>1.2104999999999999</v>
      </c>
      <c r="G14" s="151" t="s">
        <v>499</v>
      </c>
      <c r="H14" s="56">
        <f>Lookup!R6</f>
        <v>1.1052999999999999</v>
      </c>
      <c r="J14" s="151" t="s">
        <v>500</v>
      </c>
      <c r="K14" s="56"/>
      <c r="L14" s="337">
        <f>Lookup!R7</f>
        <v>0.73680000000000001</v>
      </c>
    </row>
    <row r="15" spans="1:14" s="34" customFormat="1" ht="19.5" customHeight="1" x14ac:dyDescent="0.25">
      <c r="B15" s="150" t="s">
        <v>465</v>
      </c>
    </row>
    <row r="16" spans="1:14" s="34" customFormat="1" ht="31.5" customHeight="1" x14ac:dyDescent="0.25">
      <c r="B16" s="365" t="s">
        <v>133</v>
      </c>
      <c r="C16" s="365"/>
      <c r="D16" s="365"/>
      <c r="E16" s="365"/>
      <c r="F16" s="365"/>
      <c r="G16" s="365"/>
      <c r="H16" s="365"/>
      <c r="I16" s="365"/>
      <c r="J16" s="365"/>
      <c r="K16" s="365"/>
      <c r="L16" s="365"/>
      <c r="M16" s="365"/>
      <c r="N16" s="365"/>
    </row>
    <row r="17" spans="1:16" ht="7.5" customHeight="1" x14ac:dyDescent="0.25"/>
    <row r="18" spans="1:16" x14ac:dyDescent="0.25">
      <c r="A18" s="131" t="s">
        <v>5</v>
      </c>
      <c r="B18" s="130" t="s">
        <v>6</v>
      </c>
      <c r="C18" s="130"/>
      <c r="D18" s="132" t="s">
        <v>7</v>
      </c>
      <c r="E18" s="130"/>
      <c r="F18" s="130"/>
      <c r="G18" s="130"/>
      <c r="H18" s="130"/>
      <c r="I18" s="130"/>
      <c r="J18" s="130"/>
      <c r="K18" s="130"/>
      <c r="L18" s="130"/>
      <c r="M18" s="130"/>
      <c r="N18" s="130"/>
    </row>
    <row r="19" spans="1:16" ht="7.5" customHeight="1" x14ac:dyDescent="0.25"/>
    <row r="20" spans="1:16" ht="15.75" x14ac:dyDescent="0.25">
      <c r="B20" t="s">
        <v>509</v>
      </c>
      <c r="E20" s="216"/>
      <c r="F20" s="32" t="str">
        <f>IF(E20="No", "      PLEASE CONFIRM FORM SHOULD BE SUBMITTED PRIOR TO OFFICIAL APPROVAL","")</f>
        <v/>
      </c>
    </row>
    <row r="21" spans="1:16" ht="7.5" customHeight="1" x14ac:dyDescent="0.25"/>
    <row r="22" spans="1:16" x14ac:dyDescent="0.25">
      <c r="B22" s="4" t="s">
        <v>8</v>
      </c>
      <c r="C22" s="217"/>
      <c r="E22" t="s">
        <v>9</v>
      </c>
      <c r="F22" s="200">
        <f>C22/9</f>
        <v>0</v>
      </c>
      <c r="I22" t="s">
        <v>122</v>
      </c>
      <c r="J22" s="215"/>
      <c r="L22" s="49" t="s">
        <v>142</v>
      </c>
      <c r="M22" s="196">
        <f>C22+J22</f>
        <v>0</v>
      </c>
      <c r="N22" s="22"/>
    </row>
    <row r="23" spans="1:16" ht="14.25" customHeight="1" x14ac:dyDescent="0.25">
      <c r="J23" s="153" t="s">
        <v>448</v>
      </c>
    </row>
    <row r="24" spans="1:16" ht="15" hidden="1" customHeight="1" x14ac:dyDescent="0.25">
      <c r="C24" s="4" t="s">
        <v>127</v>
      </c>
      <c r="D24" s="30">
        <f>C22*F7</f>
        <v>0</v>
      </c>
      <c r="E24" s="4" t="s">
        <v>130</v>
      </c>
      <c r="F24" s="50">
        <f>D24/9</f>
        <v>0</v>
      </c>
      <c r="I24" s="4" t="s">
        <v>134</v>
      </c>
      <c r="J24" s="31">
        <f>(D24+J22)/9</f>
        <v>0</v>
      </c>
      <c r="L24" s="4"/>
      <c r="M24" s="35"/>
    </row>
    <row r="25" spans="1:16" ht="15" hidden="1" customHeight="1" x14ac:dyDescent="0.25">
      <c r="C25" s="4" t="s">
        <v>128</v>
      </c>
      <c r="D25" s="30">
        <f>C22*H7</f>
        <v>0</v>
      </c>
      <c r="E25" s="4" t="s">
        <v>131</v>
      </c>
      <c r="F25" s="50">
        <f t="shared" ref="F25:F26" si="0">D25/9</f>
        <v>0</v>
      </c>
      <c r="L25" s="4"/>
      <c r="M25" s="35"/>
    </row>
    <row r="26" spans="1:16" ht="15" hidden="1" customHeight="1" x14ac:dyDescent="0.25">
      <c r="C26" s="4" t="s">
        <v>129</v>
      </c>
      <c r="D26" s="30">
        <f>C22*K7</f>
        <v>0</v>
      </c>
      <c r="E26" s="4" t="s">
        <v>132</v>
      </c>
      <c r="F26" s="50">
        <f t="shared" si="0"/>
        <v>0</v>
      </c>
      <c r="I26" s="4" t="s">
        <v>138</v>
      </c>
      <c r="J26" s="51">
        <f>J24+F25+F26</f>
        <v>0</v>
      </c>
    </row>
    <row r="27" spans="1:16" ht="7.5" hidden="1" customHeight="1" x14ac:dyDescent="0.25"/>
    <row r="28" spans="1:16" x14ac:dyDescent="0.25">
      <c r="B28" t="s">
        <v>507</v>
      </c>
      <c r="E28" s="216"/>
      <c r="L28" t="s">
        <v>143</v>
      </c>
      <c r="M28" s="196">
        <f>D30+J22</f>
        <v>0</v>
      </c>
    </row>
    <row r="29" spans="1:16" ht="7.5" customHeight="1" x14ac:dyDescent="0.25"/>
    <row r="30" spans="1:16" x14ac:dyDescent="0.25">
      <c r="B30" t="s">
        <v>10</v>
      </c>
      <c r="D30" s="217"/>
      <c r="F30" t="s">
        <v>9</v>
      </c>
      <c r="G30" s="200">
        <f>D30/9</f>
        <v>0</v>
      </c>
      <c r="L30" s="4" t="s">
        <v>140</v>
      </c>
      <c r="M30" s="197">
        <f>G30*3</f>
        <v>0</v>
      </c>
    </row>
    <row r="31" spans="1:16" ht="7.5" customHeight="1" x14ac:dyDescent="0.25"/>
    <row r="32" spans="1:16" ht="15.75" customHeight="1" x14ac:dyDescent="0.25">
      <c r="C32" s="4" t="s">
        <v>127</v>
      </c>
      <c r="D32" s="201">
        <f>D30*F7</f>
        <v>0</v>
      </c>
      <c r="E32" s="4" t="s">
        <v>130</v>
      </c>
      <c r="F32" s="198">
        <f>D32/9</f>
        <v>0</v>
      </c>
      <c r="I32" s="4" t="s">
        <v>134</v>
      </c>
      <c r="J32" s="199">
        <f>(D32+J22)/9</f>
        <v>0</v>
      </c>
      <c r="L32" s="4" t="s">
        <v>135</v>
      </c>
      <c r="M32" s="198">
        <f>J32-F32</f>
        <v>0</v>
      </c>
      <c r="P32" s="35"/>
    </row>
    <row r="33" spans="1:14" ht="15.75" customHeight="1" x14ac:dyDescent="0.25">
      <c r="C33" s="4" t="s">
        <v>128</v>
      </c>
      <c r="D33" s="201">
        <f>D30*H7</f>
        <v>0</v>
      </c>
      <c r="E33" s="4" t="s">
        <v>131</v>
      </c>
      <c r="F33" s="198">
        <f t="shared" ref="F33:F34" si="1">D33/9</f>
        <v>0</v>
      </c>
      <c r="L33" s="4" t="s">
        <v>136</v>
      </c>
      <c r="M33" s="198">
        <f>M32*3</f>
        <v>0</v>
      </c>
    </row>
    <row r="34" spans="1:14" ht="15.75" customHeight="1" x14ac:dyDescent="0.25">
      <c r="C34" s="4" t="s">
        <v>129</v>
      </c>
      <c r="D34" s="201">
        <f>D30*K7</f>
        <v>0</v>
      </c>
      <c r="E34" s="4" t="s">
        <v>132</v>
      </c>
      <c r="F34" s="198">
        <f t="shared" si="1"/>
        <v>0</v>
      </c>
      <c r="I34" s="4" t="s">
        <v>138</v>
      </c>
      <c r="J34" s="195">
        <f>J32+F33+F34</f>
        <v>0</v>
      </c>
      <c r="L34" s="4" t="s">
        <v>141</v>
      </c>
      <c r="M34" s="197">
        <f>M30+M33</f>
        <v>0</v>
      </c>
    </row>
    <row r="35" spans="1:14" ht="15.75" customHeight="1" x14ac:dyDescent="0.25">
      <c r="C35" s="4"/>
      <c r="D35" s="155"/>
      <c r="E35" s="4"/>
      <c r="F35" s="35"/>
      <c r="I35" s="4"/>
      <c r="J35" s="35"/>
      <c r="L35" s="4" t="s">
        <v>445</v>
      </c>
      <c r="M35" s="197">
        <f>M28+M34</f>
        <v>0</v>
      </c>
      <c r="N35" s="153" t="s">
        <v>431</v>
      </c>
    </row>
    <row r="36" spans="1:14" ht="17.25" customHeight="1" x14ac:dyDescent="0.25"/>
    <row r="37" spans="1:14" s="1" customFormat="1" ht="63" customHeight="1" x14ac:dyDescent="0.25">
      <c r="A37" s="250" t="s">
        <v>12</v>
      </c>
      <c r="B37" s="251" t="s">
        <v>363</v>
      </c>
      <c r="C37" s="251" t="s">
        <v>13</v>
      </c>
      <c r="D37" s="251" t="s">
        <v>48</v>
      </c>
      <c r="E37" s="251" t="s">
        <v>432</v>
      </c>
      <c r="F37" s="251" t="s">
        <v>416</v>
      </c>
      <c r="G37" s="251" t="s">
        <v>243</v>
      </c>
      <c r="H37" s="251" t="s">
        <v>44</v>
      </c>
      <c r="I37" s="250" t="s">
        <v>14</v>
      </c>
      <c r="J37" s="251" t="s">
        <v>362</v>
      </c>
      <c r="K37" s="251" t="s">
        <v>495</v>
      </c>
      <c r="L37" s="251" t="s">
        <v>15</v>
      </c>
      <c r="M37" s="251" t="s">
        <v>494</v>
      </c>
      <c r="N37" s="322" t="s">
        <v>361</v>
      </c>
    </row>
    <row r="38" spans="1:14" ht="29.25" customHeight="1" x14ac:dyDescent="0.25">
      <c r="A38" s="218"/>
      <c r="B38" s="246"/>
      <c r="C38" s="220"/>
      <c r="D38" s="219"/>
      <c r="E38" s="319"/>
      <c r="F38" s="307">
        <v>2026</v>
      </c>
      <c r="G38" s="305">
        <f>IF(D38="NIH",Lookup!$M$3,IF(D38="NSF",Lookup!$L$18,IF(D38="NIFA",Lookup!$M$23,IF(D38="Other",$C$50,0))))</f>
        <v>0</v>
      </c>
      <c r="H38" s="313">
        <f>C38*$J$34</f>
        <v>0</v>
      </c>
      <c r="I38" s="316" t="str">
        <f>IF(AND(G38&gt;0,H38&gt;(G38*C38)),"Yes","No")</f>
        <v>No</v>
      </c>
      <c r="J38" s="308">
        <f t="shared" ref="J38:J47" si="2">IF(I38="Yes",H38-L38,H38)</f>
        <v>0</v>
      </c>
      <c r="K38" s="205">
        <f>J38*0.102</f>
        <v>0</v>
      </c>
      <c r="L38" s="202">
        <f t="shared" ref="L38:L47" si="3">IF(I38="Yes",H38-(G38*C38),0)</f>
        <v>0</v>
      </c>
      <c r="M38" s="305">
        <f>L38*0.102</f>
        <v>0</v>
      </c>
      <c r="N38" s="261"/>
    </row>
    <row r="39" spans="1:14" ht="29.25" customHeight="1" x14ac:dyDescent="0.25">
      <c r="A39" s="221"/>
      <c r="B39" s="247"/>
      <c r="C39" s="223"/>
      <c r="D39" s="222"/>
      <c r="E39" s="320"/>
      <c r="F39" s="311">
        <v>2026</v>
      </c>
      <c r="G39" s="304">
        <f>IF(D39="NIH",Lookup!$M$3,IF(D39="NSF",Lookup!$L$18,IF(D39="NIFA",Lookup!$M$23,IF(D39="Other",$C$50,0))))</f>
        <v>0</v>
      </c>
      <c r="H39" s="314">
        <f>C39*$J$34</f>
        <v>0</v>
      </c>
      <c r="I39" s="317" t="str">
        <f>IF(AND(G39&gt;0,H39&gt;(G39*C39)),"Yes","No")</f>
        <v>No</v>
      </c>
      <c r="J39" s="309">
        <f t="shared" si="2"/>
        <v>0</v>
      </c>
      <c r="K39" s="206">
        <f>J39*0.102</f>
        <v>0</v>
      </c>
      <c r="L39" s="203">
        <f t="shared" si="3"/>
        <v>0</v>
      </c>
      <c r="M39" s="304">
        <f>L39*0.102</f>
        <v>0</v>
      </c>
      <c r="N39" s="323"/>
    </row>
    <row r="40" spans="1:14" ht="29.25" customHeight="1" x14ac:dyDescent="0.25">
      <c r="A40" s="221"/>
      <c r="B40" s="247"/>
      <c r="C40" s="223"/>
      <c r="D40" s="222"/>
      <c r="E40" s="320"/>
      <c r="F40" s="311">
        <v>2026</v>
      </c>
      <c r="G40" s="304">
        <f>IF(D40="NIH",Lookup!$M$3,IF(D40="NSF",Lookup!$L$18,IF(D40="NIFA",Lookup!$M$23,IF(D40="Other",$C$50,0))))</f>
        <v>0</v>
      </c>
      <c r="H40" s="314">
        <f t="shared" ref="H40:H47" si="4">C40*$J$34</f>
        <v>0</v>
      </c>
      <c r="I40" s="317" t="str">
        <f t="shared" ref="I40:I47" si="5">IF(AND(G40&gt;0,H40&gt;(G40*C40)),"Yes","No")</f>
        <v>No</v>
      </c>
      <c r="J40" s="309">
        <f t="shared" si="2"/>
        <v>0</v>
      </c>
      <c r="K40" s="206">
        <f t="shared" ref="K40:K47" si="6">J40*0.102</f>
        <v>0</v>
      </c>
      <c r="L40" s="203">
        <f t="shared" si="3"/>
        <v>0</v>
      </c>
      <c r="M40" s="304">
        <f t="shared" ref="M40:M47" si="7">L40*0.102</f>
        <v>0</v>
      </c>
      <c r="N40" s="323"/>
    </row>
    <row r="41" spans="1:14" ht="29.25" customHeight="1" x14ac:dyDescent="0.25">
      <c r="A41" s="221"/>
      <c r="B41" s="247"/>
      <c r="C41" s="223"/>
      <c r="D41" s="222"/>
      <c r="E41" s="320"/>
      <c r="F41" s="311">
        <v>2026</v>
      </c>
      <c r="G41" s="304">
        <f>IF(D41="NIH",Lookup!$M$3,IF(D41="NSF",Lookup!$L$18,IF(D41="NIFA",Lookup!$M$23,IF(D41="Other",$C$50,0))))</f>
        <v>0</v>
      </c>
      <c r="H41" s="314">
        <f t="shared" si="4"/>
        <v>0</v>
      </c>
      <c r="I41" s="317" t="str">
        <f t="shared" si="5"/>
        <v>No</v>
      </c>
      <c r="J41" s="309">
        <f t="shared" si="2"/>
        <v>0</v>
      </c>
      <c r="K41" s="206">
        <f t="shared" si="6"/>
        <v>0</v>
      </c>
      <c r="L41" s="203">
        <f t="shared" si="3"/>
        <v>0</v>
      </c>
      <c r="M41" s="304">
        <f t="shared" si="7"/>
        <v>0</v>
      </c>
      <c r="N41" s="323"/>
    </row>
    <row r="42" spans="1:14" ht="29.25" customHeight="1" x14ac:dyDescent="0.25">
      <c r="A42" s="221"/>
      <c r="B42" s="247"/>
      <c r="C42" s="223"/>
      <c r="D42" s="222"/>
      <c r="E42" s="320"/>
      <c r="F42" s="311">
        <v>2026</v>
      </c>
      <c r="G42" s="304">
        <f>IF(D42="NIH",Lookup!$M$3,IF(D42="NSF",Lookup!$L$18,IF(D42="NIFA",Lookup!$M$23,IF(D42="Other",$C$50,0))))</f>
        <v>0</v>
      </c>
      <c r="H42" s="314">
        <f t="shared" si="4"/>
        <v>0</v>
      </c>
      <c r="I42" s="317" t="str">
        <f t="shared" si="5"/>
        <v>No</v>
      </c>
      <c r="J42" s="309">
        <f t="shared" si="2"/>
        <v>0</v>
      </c>
      <c r="K42" s="206">
        <f t="shared" si="6"/>
        <v>0</v>
      </c>
      <c r="L42" s="203">
        <f t="shared" si="3"/>
        <v>0</v>
      </c>
      <c r="M42" s="304">
        <f t="shared" si="7"/>
        <v>0</v>
      </c>
      <c r="N42" s="323"/>
    </row>
    <row r="43" spans="1:14" ht="29.25" customHeight="1" x14ac:dyDescent="0.25">
      <c r="A43" s="221"/>
      <c r="B43" s="247"/>
      <c r="C43" s="223"/>
      <c r="D43" s="222"/>
      <c r="E43" s="320"/>
      <c r="F43" s="311">
        <v>2026</v>
      </c>
      <c r="G43" s="304">
        <f>IF(D43="NIH",Lookup!$M$3,IF(D43="NSF",Lookup!$L$18,IF(D43="NIFA",Lookup!$M$23,IF(D43="Other",$C$50,0))))</f>
        <v>0</v>
      </c>
      <c r="H43" s="314">
        <f t="shared" si="4"/>
        <v>0</v>
      </c>
      <c r="I43" s="317" t="str">
        <f t="shared" si="5"/>
        <v>No</v>
      </c>
      <c r="J43" s="309">
        <f t="shared" si="2"/>
        <v>0</v>
      </c>
      <c r="K43" s="206">
        <f t="shared" si="6"/>
        <v>0</v>
      </c>
      <c r="L43" s="203">
        <f t="shared" si="3"/>
        <v>0</v>
      </c>
      <c r="M43" s="304">
        <f t="shared" si="7"/>
        <v>0</v>
      </c>
      <c r="N43" s="323"/>
    </row>
    <row r="44" spans="1:14" ht="29.25" customHeight="1" x14ac:dyDescent="0.25">
      <c r="A44" s="221"/>
      <c r="B44" s="247"/>
      <c r="C44" s="223"/>
      <c r="D44" s="222"/>
      <c r="E44" s="320"/>
      <c r="F44" s="311">
        <v>2026</v>
      </c>
      <c r="G44" s="304">
        <f>IF(D44="NIH",Lookup!$M$3,IF(D44="NSF",Lookup!$L$18,IF(D44="NIFA",Lookup!$M$23,IF(D44="Other",$C$50,0))))</f>
        <v>0</v>
      </c>
      <c r="H44" s="314">
        <f t="shared" si="4"/>
        <v>0</v>
      </c>
      <c r="I44" s="317" t="str">
        <f t="shared" si="5"/>
        <v>No</v>
      </c>
      <c r="J44" s="309">
        <f t="shared" si="2"/>
        <v>0</v>
      </c>
      <c r="K44" s="206">
        <f t="shared" si="6"/>
        <v>0</v>
      </c>
      <c r="L44" s="203">
        <f t="shared" si="3"/>
        <v>0</v>
      </c>
      <c r="M44" s="304">
        <f t="shared" si="7"/>
        <v>0</v>
      </c>
      <c r="N44" s="262"/>
    </row>
    <row r="45" spans="1:14" ht="29.25" customHeight="1" x14ac:dyDescent="0.25">
      <c r="A45" s="221"/>
      <c r="B45" s="247"/>
      <c r="C45" s="223"/>
      <c r="D45" s="222"/>
      <c r="E45" s="320"/>
      <c r="F45" s="311">
        <v>2026</v>
      </c>
      <c r="G45" s="304">
        <f>IF(D45="NIH",Lookup!$M$3,IF(D45="NSF",Lookup!$L$18,IF(D45="NIFA",Lookup!$M$23,IF(D45="Other",$C$50,0))))</f>
        <v>0</v>
      </c>
      <c r="H45" s="314">
        <f t="shared" si="4"/>
        <v>0</v>
      </c>
      <c r="I45" s="317" t="str">
        <f t="shared" si="5"/>
        <v>No</v>
      </c>
      <c r="J45" s="309">
        <f t="shared" si="2"/>
        <v>0</v>
      </c>
      <c r="K45" s="206">
        <f t="shared" si="6"/>
        <v>0</v>
      </c>
      <c r="L45" s="203">
        <f t="shared" si="3"/>
        <v>0</v>
      </c>
      <c r="M45" s="304">
        <f t="shared" si="7"/>
        <v>0</v>
      </c>
      <c r="N45" s="262"/>
    </row>
    <row r="46" spans="1:14" ht="29.25" customHeight="1" x14ac:dyDescent="0.25">
      <c r="A46" s="221"/>
      <c r="B46" s="247"/>
      <c r="C46" s="223"/>
      <c r="D46" s="222"/>
      <c r="E46" s="320"/>
      <c r="F46" s="311">
        <v>2026</v>
      </c>
      <c r="G46" s="304">
        <f>IF(D46="NIH",Lookup!$M$3,IF(D46="NSF",Lookup!$L$18,IF(D46="NIFA",Lookup!$M$23,IF(D46="Other",$C$50,0))))</f>
        <v>0</v>
      </c>
      <c r="H46" s="314">
        <f t="shared" si="4"/>
        <v>0</v>
      </c>
      <c r="I46" s="317" t="str">
        <f t="shared" si="5"/>
        <v>No</v>
      </c>
      <c r="J46" s="309">
        <f t="shared" si="2"/>
        <v>0</v>
      </c>
      <c r="K46" s="206">
        <f t="shared" si="6"/>
        <v>0</v>
      </c>
      <c r="L46" s="203">
        <f t="shared" si="3"/>
        <v>0</v>
      </c>
      <c r="M46" s="304">
        <f t="shared" si="7"/>
        <v>0</v>
      </c>
      <c r="N46" s="262"/>
    </row>
    <row r="47" spans="1:14" ht="29.25" customHeight="1" x14ac:dyDescent="0.25">
      <c r="A47" s="224"/>
      <c r="B47" s="248"/>
      <c r="C47" s="226"/>
      <c r="D47" s="225"/>
      <c r="E47" s="321"/>
      <c r="F47" s="311">
        <v>2026</v>
      </c>
      <c r="G47" s="306">
        <f>IF(D47="NIH",Lookup!$M$3,IF(D47="NSF",Lookup!$L$18,IF(D47="NIFA",Lookup!$M$23,IF(D47="Other",$C$50,0))))</f>
        <v>0</v>
      </c>
      <c r="H47" s="315">
        <f t="shared" si="4"/>
        <v>0</v>
      </c>
      <c r="I47" s="317" t="str">
        <f t="shared" si="5"/>
        <v>No</v>
      </c>
      <c r="J47" s="310">
        <f t="shared" si="2"/>
        <v>0</v>
      </c>
      <c r="K47" s="207">
        <f t="shared" si="6"/>
        <v>0</v>
      </c>
      <c r="L47" s="204">
        <f t="shared" si="3"/>
        <v>0</v>
      </c>
      <c r="M47" s="204">
        <f t="shared" si="7"/>
        <v>0</v>
      </c>
      <c r="N47" s="263"/>
    </row>
    <row r="48" spans="1:14" ht="18.75" customHeight="1" x14ac:dyDescent="0.25">
      <c r="A48" s="232" t="s">
        <v>217</v>
      </c>
      <c r="B48" s="232"/>
      <c r="C48" s="237">
        <f>SUM(C38:C47)</f>
        <v>0</v>
      </c>
      <c r="D48" s="232"/>
      <c r="E48" s="232"/>
      <c r="F48" s="234"/>
      <c r="G48" s="233"/>
      <c r="H48" s="233">
        <f>SUM(H38:H47)</f>
        <v>0</v>
      </c>
      <c r="I48" s="318"/>
      <c r="J48" s="233">
        <f>SUM(J38:J47)</f>
        <v>0</v>
      </c>
      <c r="K48" s="233">
        <f>SUM(K38:K47)</f>
        <v>0</v>
      </c>
      <c r="L48" s="233">
        <f>SUM(L38:L47)</f>
        <v>0</v>
      </c>
      <c r="M48" s="233">
        <f>SUM(M38:M47)</f>
        <v>0</v>
      </c>
      <c r="N48" s="312"/>
    </row>
    <row r="49" spans="1:14" ht="27.75" customHeight="1" x14ac:dyDescent="0.25">
      <c r="A49" s="379" t="s">
        <v>502</v>
      </c>
      <c r="B49" s="379"/>
      <c r="C49" s="379"/>
      <c r="D49" s="379"/>
      <c r="E49" s="379"/>
      <c r="F49" s="379"/>
      <c r="G49" s="379"/>
      <c r="H49" s="379"/>
      <c r="I49" s="379"/>
      <c r="J49" s="379"/>
      <c r="K49" s="379"/>
      <c r="L49" s="379"/>
      <c r="M49" s="379"/>
      <c r="N49" s="379"/>
    </row>
    <row r="50" spans="1:14" x14ac:dyDescent="0.25">
      <c r="A50" s="23" t="s">
        <v>50</v>
      </c>
      <c r="B50" s="21"/>
      <c r="C50" s="217"/>
    </row>
    <row r="51" spans="1:14" ht="7.5" customHeight="1" x14ac:dyDescent="0.25"/>
    <row r="52" spans="1:14" x14ac:dyDescent="0.25">
      <c r="B52" t="s">
        <v>16</v>
      </c>
      <c r="C52" s="216"/>
      <c r="D52" s="4" t="s">
        <v>387</v>
      </c>
      <c r="E52" t="s">
        <v>388</v>
      </c>
      <c r="G52" s="217"/>
      <c r="J52" s="4" t="s">
        <v>410</v>
      </c>
      <c r="K52" s="208" t="str">
        <f>IFERROR(G52/G30,"0")</f>
        <v>0</v>
      </c>
    </row>
    <row r="53" spans="1:14" ht="7.5" customHeight="1" x14ac:dyDescent="0.25"/>
    <row r="54" spans="1:14" x14ac:dyDescent="0.25">
      <c r="B54" t="s">
        <v>510</v>
      </c>
      <c r="J54" s="216"/>
      <c r="L54" s="3"/>
    </row>
    <row r="55" spans="1:14" ht="7.5" customHeight="1" x14ac:dyDescent="0.25"/>
    <row r="56" spans="1:14" x14ac:dyDescent="0.25">
      <c r="B56" t="s">
        <v>17</v>
      </c>
      <c r="E56" s="216"/>
    </row>
    <row r="57" spans="1:14" ht="7.5" customHeight="1" x14ac:dyDescent="0.25"/>
    <row r="58" spans="1:14" ht="16.5" customHeight="1" x14ac:dyDescent="0.25">
      <c r="B58" t="s">
        <v>393</v>
      </c>
    </row>
    <row r="59" spans="1:14" ht="7.5" customHeight="1" x14ac:dyDescent="0.25"/>
    <row r="60" spans="1:14" ht="22.5" customHeight="1" x14ac:dyDescent="0.25">
      <c r="A60" t="s">
        <v>18</v>
      </c>
      <c r="C60" s="375"/>
      <c r="D60" s="375"/>
      <c r="E60" s="375"/>
      <c r="F60" s="375"/>
      <c r="G60" s="375"/>
      <c r="I60" s="376"/>
      <c r="J60" s="376"/>
    </row>
    <row r="61" spans="1:14" ht="14.25" customHeight="1" x14ac:dyDescent="0.25">
      <c r="C61" s="19"/>
      <c r="D61" s="26" t="s">
        <v>285</v>
      </c>
      <c r="J61" s="26" t="s">
        <v>65</v>
      </c>
    </row>
    <row r="62" spans="1:14" ht="14.25" customHeight="1" x14ac:dyDescent="0.25">
      <c r="C62" s="20" t="s">
        <v>290</v>
      </c>
      <c r="D62" s="26"/>
      <c r="J62" s="26"/>
    </row>
    <row r="63" spans="1:14" ht="10.5" customHeight="1" x14ac:dyDescent="0.25">
      <c r="C63" s="19"/>
    </row>
    <row r="64" spans="1:14" x14ac:dyDescent="0.25">
      <c r="A64" s="20" t="s">
        <v>56</v>
      </c>
    </row>
    <row r="65" spans="1:14" ht="9" customHeight="1" x14ac:dyDescent="0.25"/>
    <row r="66" spans="1:14" x14ac:dyDescent="0.25">
      <c r="A66" s="131" t="s">
        <v>19</v>
      </c>
      <c r="B66" s="130" t="s">
        <v>107</v>
      </c>
      <c r="C66" s="130"/>
      <c r="D66" s="130"/>
      <c r="E66" s="130"/>
      <c r="F66" s="130"/>
      <c r="G66" s="130"/>
      <c r="H66" s="130"/>
      <c r="I66" s="130"/>
      <c r="J66" s="130"/>
      <c r="K66" s="130"/>
      <c r="L66" s="130"/>
      <c r="M66" s="130"/>
      <c r="N66" s="130"/>
    </row>
    <row r="67" spans="1:14" ht="6.75" customHeight="1" x14ac:dyDescent="0.25"/>
    <row r="68" spans="1:14" x14ac:dyDescent="0.25">
      <c r="A68" s="119" t="s">
        <v>113</v>
      </c>
      <c r="B68" s="120"/>
      <c r="C68" s="120"/>
      <c r="D68" s="120"/>
      <c r="E68" s="120"/>
      <c r="F68" s="120"/>
      <c r="G68" s="120"/>
      <c r="H68" s="120"/>
      <c r="I68" s="120"/>
      <c r="J68" s="120"/>
      <c r="K68" s="121"/>
    </row>
    <row r="69" spans="1:14" x14ac:dyDescent="0.25">
      <c r="A69" s="7"/>
      <c r="B69" t="s">
        <v>59</v>
      </c>
      <c r="C69" s="4" t="s">
        <v>60</v>
      </c>
      <c r="D69" s="199">
        <f>SUMIF(D38:D47,"NSF",C38:C47)</f>
        <v>0</v>
      </c>
      <c r="F69" s="4" t="s">
        <v>61</v>
      </c>
      <c r="G69" s="209">
        <f>SUMIF(D38:D47,"NSF",H38:H47)</f>
        <v>0</v>
      </c>
      <c r="K69" s="8"/>
    </row>
    <row r="70" spans="1:14" ht="7.5" customHeight="1" x14ac:dyDescent="0.25">
      <c r="A70" s="7"/>
      <c r="K70" s="8"/>
    </row>
    <row r="71" spans="1:14" x14ac:dyDescent="0.25">
      <c r="A71" s="7"/>
      <c r="B71" t="s">
        <v>57</v>
      </c>
      <c r="I71" s="375"/>
      <c r="J71" s="375"/>
      <c r="K71" s="8"/>
    </row>
    <row r="72" spans="1:14" ht="7.5" customHeight="1" x14ac:dyDescent="0.25">
      <c r="A72" s="7"/>
      <c r="K72" s="8"/>
    </row>
    <row r="73" spans="1:14" x14ac:dyDescent="0.25">
      <c r="A73" s="7"/>
      <c r="B73" t="s">
        <v>62</v>
      </c>
      <c r="F73" s="4" t="s">
        <v>102</v>
      </c>
      <c r="G73" s="217"/>
      <c r="J73" s="4" t="s">
        <v>103</v>
      </c>
      <c r="K73" s="227"/>
    </row>
    <row r="74" spans="1:14" ht="7.5" customHeight="1" x14ac:dyDescent="0.25">
      <c r="A74" s="7"/>
      <c r="K74" s="8"/>
    </row>
    <row r="75" spans="1:14" x14ac:dyDescent="0.25">
      <c r="A75" s="7"/>
      <c r="F75" s="4" t="s">
        <v>105</v>
      </c>
      <c r="G75" s="199">
        <f>G69+G73</f>
        <v>0</v>
      </c>
      <c r="J75" s="4" t="s">
        <v>104</v>
      </c>
      <c r="K75" s="211">
        <f>K73+D69</f>
        <v>0</v>
      </c>
      <c r="M75" s="33"/>
    </row>
    <row r="76" spans="1:14" x14ac:dyDescent="0.25">
      <c r="A76" s="7"/>
      <c r="K76" s="8"/>
    </row>
    <row r="77" spans="1:14" x14ac:dyDescent="0.25">
      <c r="A77" s="7"/>
      <c r="B77" t="s">
        <v>106</v>
      </c>
      <c r="G77" s="210" t="str">
        <f>IF(OR(K75&gt;2,G75&gt;Lookup!L18+0.01),"YES, OVER CAP","No")</f>
        <v>No</v>
      </c>
      <c r="K77" s="8"/>
    </row>
    <row r="78" spans="1:14" x14ac:dyDescent="0.25">
      <c r="A78" s="9"/>
      <c r="B78" s="10" t="s">
        <v>58</v>
      </c>
      <c r="C78" s="10"/>
      <c r="D78" s="10"/>
      <c r="E78" s="10"/>
      <c r="F78" s="10"/>
      <c r="G78" s="10"/>
      <c r="H78" s="10"/>
      <c r="I78" s="10"/>
      <c r="J78" s="10"/>
      <c r="K78" s="11"/>
    </row>
    <row r="80" spans="1:14" x14ac:dyDescent="0.25">
      <c r="A80" s="119" t="s">
        <v>114</v>
      </c>
      <c r="B80" s="120"/>
      <c r="C80" s="120"/>
      <c r="D80" s="120"/>
      <c r="E80" s="120"/>
      <c r="F80" s="120"/>
      <c r="G80" s="120"/>
      <c r="H80" s="121"/>
      <c r="J80" s="119" t="s">
        <v>139</v>
      </c>
      <c r="K80" s="120"/>
      <c r="L80" s="120"/>
      <c r="M80" s="120"/>
      <c r="N80" s="121"/>
    </row>
    <row r="81" spans="1:14" s="1" customFormat="1" ht="45" x14ac:dyDescent="0.25">
      <c r="A81" s="116" t="s">
        <v>112</v>
      </c>
      <c r="B81" s="111" t="s">
        <v>11</v>
      </c>
      <c r="C81" s="70" t="s">
        <v>108</v>
      </c>
      <c r="D81" s="70" t="s">
        <v>110</v>
      </c>
      <c r="E81" s="70" t="s">
        <v>109</v>
      </c>
      <c r="F81" s="70" t="s">
        <v>446</v>
      </c>
      <c r="G81" s="70" t="s">
        <v>232</v>
      </c>
      <c r="H81" s="115" t="s">
        <v>111</v>
      </c>
      <c r="J81" s="112"/>
      <c r="L81" s="4" t="s">
        <v>144</v>
      </c>
      <c r="M81" s="113">
        <f>M34</f>
        <v>0</v>
      </c>
      <c r="N81" s="114"/>
    </row>
    <row r="82" spans="1:14" x14ac:dyDescent="0.25">
      <c r="A82" s="117">
        <f>Lookup!M2</f>
        <v>19000</v>
      </c>
      <c r="B82" s="4" t="s">
        <v>37</v>
      </c>
      <c r="C82" s="212">
        <f>SUMIFS($J$38:$J$47,$A$38:$A$47,B82,$D$38:$D$47,"NIH")</f>
        <v>0</v>
      </c>
      <c r="D82" s="213">
        <f>SUMIFS($C$38:$C$47,$A$38:$A$47,B82,$D$38:$D$47,"NIH")</f>
        <v>0</v>
      </c>
      <c r="E82" s="212">
        <f>D82*$A$82</f>
        <v>0</v>
      </c>
      <c r="F82" s="228"/>
      <c r="G82" s="197">
        <f>C82+F82</f>
        <v>0</v>
      </c>
      <c r="H82" s="37" t="str">
        <f>IF(E82&lt;G82,"OVER CAP",IF(D82&gt;1,"OVER CAP",""))</f>
        <v/>
      </c>
      <c r="J82" s="7"/>
      <c r="L82" s="4" t="s">
        <v>447</v>
      </c>
      <c r="M82" s="22">
        <f>J48+L48</f>
        <v>0</v>
      </c>
      <c r="N82" s="37" t="str">
        <f>IF(M82=M81,"","REVIEW")</f>
        <v/>
      </c>
    </row>
    <row r="83" spans="1:14" x14ac:dyDescent="0.25">
      <c r="A83" s="7"/>
      <c r="B83" s="4" t="s">
        <v>38</v>
      </c>
      <c r="C83" s="212">
        <f>SUMIFS($J$38:$J$47,$A$38:$A$47,B83,$D$38:$D$47,"NIH")</f>
        <v>0</v>
      </c>
      <c r="D83" s="213">
        <f t="shared" ref="D83:D85" si="8">SUMIFS($C$38:$C$47,$A$38:$A$47,B83,$D$38:$D$47,"NIH")</f>
        <v>0</v>
      </c>
      <c r="E83" s="212">
        <f>D83*$A$82</f>
        <v>0</v>
      </c>
      <c r="F83" s="228"/>
      <c r="G83" s="197">
        <f>C83+F83</f>
        <v>0</v>
      </c>
      <c r="H83" s="37" t="str">
        <f>IF(E83&lt;G83,"OVER CAP",IF(D83&gt;1,"OVER CAP",""))</f>
        <v/>
      </c>
      <c r="J83" s="7"/>
      <c r="N83" s="8"/>
    </row>
    <row r="84" spans="1:14" x14ac:dyDescent="0.25">
      <c r="A84" s="7"/>
      <c r="B84" s="4" t="s">
        <v>39</v>
      </c>
      <c r="C84" s="212">
        <f>SUMIFS($J$38:$J$47,$A$38:$A$47,B84,$D$38:$D$47,"NIH")</f>
        <v>0</v>
      </c>
      <c r="D84" s="213">
        <f t="shared" si="8"/>
        <v>0</v>
      </c>
      <c r="E84" s="212">
        <f>D84*$A$82</f>
        <v>0</v>
      </c>
      <c r="F84" s="228"/>
      <c r="G84" s="197">
        <f>C84+F84</f>
        <v>0</v>
      </c>
      <c r="H84" s="37" t="str">
        <f>IF(E84&lt;G84,"OVER CAP",IF(D84&gt;1,"OVER CAP",""))</f>
        <v/>
      </c>
      <c r="J84" s="7"/>
      <c r="L84" s="4" t="s">
        <v>145</v>
      </c>
      <c r="M84" s="22">
        <f>M30</f>
        <v>0</v>
      </c>
      <c r="N84" s="8"/>
    </row>
    <row r="85" spans="1:14" x14ac:dyDescent="0.25">
      <c r="A85" s="7"/>
      <c r="B85" s="4" t="s">
        <v>40</v>
      </c>
      <c r="C85" s="212">
        <f>SUMIFS($J$38:$J$47,$A$38:$A$47,B85,$D$38:$D$47,"NIH")</f>
        <v>0</v>
      </c>
      <c r="D85" s="213">
        <f t="shared" si="8"/>
        <v>0</v>
      </c>
      <c r="E85" s="212">
        <f>D85*$A$82</f>
        <v>0</v>
      </c>
      <c r="F85" s="228"/>
      <c r="G85" s="197">
        <f>C85+F85</f>
        <v>0</v>
      </c>
      <c r="H85" s="37" t="str">
        <f>IF(E85&lt;G85,"OVER CAP",IF(D85&gt;1,"OVER CAP",""))</f>
        <v/>
      </c>
      <c r="J85" s="7"/>
      <c r="L85" s="4" t="s">
        <v>146</v>
      </c>
      <c r="M85" s="14">
        <f>SUMIF($D$38:$D$47,"General Funds",J38:J47)</f>
        <v>0</v>
      </c>
      <c r="N85" s="37" t="str">
        <f>IF(M85&lt;=M84,"","OVER BASE")</f>
        <v/>
      </c>
    </row>
    <row r="86" spans="1:14" ht="13.5" customHeight="1" x14ac:dyDescent="0.25">
      <c r="A86" s="118" t="s">
        <v>466</v>
      </c>
      <c r="B86" s="10"/>
      <c r="C86" s="10"/>
      <c r="D86" s="5"/>
      <c r="E86" s="13"/>
      <c r="F86" s="5"/>
      <c r="G86" s="55"/>
      <c r="H86" s="11"/>
      <c r="J86" s="7"/>
      <c r="L86" s="4"/>
      <c r="M86" s="14"/>
      <c r="N86" s="37"/>
    </row>
    <row r="87" spans="1:14" x14ac:dyDescent="0.25">
      <c r="J87" s="7"/>
      <c r="K87" s="4" t="s">
        <v>147</v>
      </c>
      <c r="L87" t="s">
        <v>38</v>
      </c>
      <c r="M87" s="14">
        <f>SUMIFS($J$38:$J$47,$A$38:$A$47,L87,$D$38:$D$47,"General Funds")</f>
        <v>0</v>
      </c>
      <c r="N87" s="37" t="str">
        <f>IF(M87&lt;$G$30,"","OVER BASE")</f>
        <v>OVER BASE</v>
      </c>
    </row>
    <row r="88" spans="1:14" x14ac:dyDescent="0.25">
      <c r="A88" s="119" t="s">
        <v>115</v>
      </c>
      <c r="B88" s="120"/>
      <c r="C88" s="120"/>
      <c r="D88" s="120"/>
      <c r="E88" s="121"/>
      <c r="J88" s="7"/>
      <c r="L88" t="s">
        <v>39</v>
      </c>
      <c r="M88" s="14">
        <f>SUMIFS($J$38:$J$47,$A$38:$A$47,L88,$D$38:$D$47,"General Funds")</f>
        <v>0</v>
      </c>
      <c r="N88" s="37" t="str">
        <f t="shared" ref="N88:N90" si="9">IF(M88&lt;$G$30,"","OVER BASE")</f>
        <v>OVER BASE</v>
      </c>
    </row>
    <row r="89" spans="1:14" x14ac:dyDescent="0.25">
      <c r="A89" s="7"/>
      <c r="B89" t="s">
        <v>11</v>
      </c>
      <c r="C89" t="s">
        <v>116</v>
      </c>
      <c r="D89" t="s">
        <v>118</v>
      </c>
      <c r="E89" s="8"/>
      <c r="J89" s="7"/>
      <c r="L89" t="s">
        <v>40</v>
      </c>
      <c r="M89" s="14">
        <f>SUMIFS($J$38:$J$47,$A$38:$A$47,L89,$D$38:$D$47,"General Funds")</f>
        <v>0</v>
      </c>
      <c r="N89" s="37" t="str">
        <f t="shared" si="9"/>
        <v>OVER BASE</v>
      </c>
    </row>
    <row r="90" spans="1:14" x14ac:dyDescent="0.25">
      <c r="A90" s="7"/>
      <c r="B90" t="s">
        <v>37</v>
      </c>
      <c r="C90" s="12">
        <f>SUMIF($A$38:$A$47,B90,C38:$C$47)</f>
        <v>0</v>
      </c>
      <c r="D90" s="36" t="str">
        <f>IF(C90&gt;1,"OVER CAP","")</f>
        <v/>
      </c>
      <c r="E90" s="53"/>
      <c r="J90" s="9"/>
      <c r="K90" s="10"/>
      <c r="L90" s="10" t="s">
        <v>37</v>
      </c>
      <c r="M90" s="5">
        <f>SUMIFS($J$38:$J$47,$A$38:$A$47,L90,$D$38:$D$47,"General Funds")</f>
        <v>0</v>
      </c>
      <c r="N90" s="38" t="str">
        <f t="shared" si="9"/>
        <v>OVER BASE</v>
      </c>
    </row>
    <row r="91" spans="1:14" x14ac:dyDescent="0.25">
      <c r="A91" s="7"/>
      <c r="B91" t="s">
        <v>38</v>
      </c>
      <c r="C91" s="12">
        <f>SUMIF($A$38:$A$47,B91,C38:$C$47)</f>
        <v>0</v>
      </c>
      <c r="D91" s="36" t="str">
        <f t="shared" ref="D91:D94" si="10">IF(C91&gt;1,"OVER CAP","")</f>
        <v/>
      </c>
      <c r="E91" s="53"/>
    </row>
    <row r="92" spans="1:14" x14ac:dyDescent="0.25">
      <c r="A92" s="7"/>
      <c r="B92" t="s">
        <v>39</v>
      </c>
      <c r="C92" s="12">
        <f>SUMIF($A$38:$A$47,B92,C38:$C$47)</f>
        <v>0</v>
      </c>
      <c r="D92" s="36" t="str">
        <f t="shared" si="10"/>
        <v/>
      </c>
      <c r="E92" s="53"/>
    </row>
    <row r="93" spans="1:14" x14ac:dyDescent="0.25">
      <c r="A93" s="7"/>
      <c r="B93" t="s">
        <v>40</v>
      </c>
      <c r="C93" s="12">
        <f>SUMIF($A$38:$A$47,B93,C38:$C$47)</f>
        <v>0</v>
      </c>
      <c r="D93" s="36" t="str">
        <f t="shared" si="10"/>
        <v/>
      </c>
      <c r="E93" s="53"/>
    </row>
    <row r="94" spans="1:14" x14ac:dyDescent="0.25">
      <c r="A94" s="7"/>
      <c r="B94" t="s">
        <v>117</v>
      </c>
      <c r="C94" s="12">
        <f>SUMIF($A$38:$A$47,"June",C38:$C$47)+SUMIF($A$38:$A$47,"September",C38:$C$47)</f>
        <v>0</v>
      </c>
      <c r="D94" s="36" t="str">
        <f t="shared" si="10"/>
        <v/>
      </c>
      <c r="E94" s="53"/>
    </row>
    <row r="95" spans="1:14" x14ac:dyDescent="0.25">
      <c r="A95" s="7"/>
      <c r="B95" t="s">
        <v>409</v>
      </c>
      <c r="C95" s="12">
        <f>SUM(C38:C47)+K52</f>
        <v>0</v>
      </c>
      <c r="D95" s="36" t="str">
        <f>IF(C95&gt;3,"OVER CAP","")</f>
        <v/>
      </c>
      <c r="E95" s="53"/>
    </row>
    <row r="96" spans="1:14" x14ac:dyDescent="0.25">
      <c r="A96" s="9"/>
      <c r="B96" s="54" t="s">
        <v>121</v>
      </c>
      <c r="C96" s="13"/>
      <c r="D96" s="55"/>
      <c r="E96" s="11"/>
    </row>
    <row r="98" spans="1:14" ht="15" customHeight="1" x14ac:dyDescent="0.25">
      <c r="A98" s="119" t="s">
        <v>239</v>
      </c>
      <c r="B98" s="120"/>
      <c r="C98" s="120"/>
      <c r="D98" s="120"/>
      <c r="E98" s="120"/>
      <c r="F98" s="120"/>
      <c r="G98" s="121"/>
    </row>
    <row r="99" spans="1:14" ht="15" customHeight="1" x14ac:dyDescent="0.25">
      <c r="A99" s="7"/>
      <c r="C99" s="2" t="s">
        <v>11</v>
      </c>
      <c r="D99" s="2" t="s">
        <v>108</v>
      </c>
      <c r="E99" s="2" t="s">
        <v>110</v>
      </c>
      <c r="F99" s="2" t="s">
        <v>109</v>
      </c>
      <c r="G99" s="52" t="s">
        <v>111</v>
      </c>
    </row>
    <row r="100" spans="1:14" ht="15" customHeight="1" x14ac:dyDescent="0.25">
      <c r="A100" s="7"/>
      <c r="B100" s="130" t="s">
        <v>240</v>
      </c>
      <c r="C100" t="s">
        <v>37</v>
      </c>
      <c r="D100" s="14">
        <f>SUMIFS($J$38:$J$47,$A$38:$A$47,C100,$D$38:$D$47,"NIFA")</f>
        <v>0</v>
      </c>
      <c r="E100" s="12">
        <f>SUMIFS($C$38:$C$47,$A$38:$A$47,C100,$D$38:$D$47,"NIFA")</f>
        <v>0</v>
      </c>
      <c r="F100" s="14">
        <f>E100*$B$101</f>
        <v>0</v>
      </c>
      <c r="G100" s="37" t="str">
        <f>IF(F100&lt;D100,"OVER CAP",IF(E100&gt;1,"OVER CAP",""))</f>
        <v/>
      </c>
    </row>
    <row r="101" spans="1:14" ht="15" customHeight="1" x14ac:dyDescent="0.25">
      <c r="A101" s="7"/>
      <c r="B101" s="177">
        <f>Lookup!M23</f>
        <v>16433.333333333332</v>
      </c>
      <c r="C101" t="s">
        <v>38</v>
      </c>
      <c r="D101" s="14">
        <f>SUMIFS($J$38:$J$47,$A$38:$A$47,C101,$D$38:$D$47,"NIFA")</f>
        <v>0</v>
      </c>
      <c r="E101" s="12">
        <f t="shared" ref="E101:E103" si="11">SUMIFS($C$38:$C$47,$A$38:$A$47,C101,$D$38:$D$47,"NIFA")</f>
        <v>0</v>
      </c>
      <c r="F101" s="14">
        <f t="shared" ref="F101:F103" si="12">E101*$B$101</f>
        <v>0</v>
      </c>
      <c r="G101" s="37" t="str">
        <f t="shared" ref="G101:G103" si="13">IF(F101&lt;D101,"OVER CAP",IF(E101&gt;1,"OVER CAP",""))</f>
        <v/>
      </c>
    </row>
    <row r="102" spans="1:14" ht="15" customHeight="1" x14ac:dyDescent="0.25">
      <c r="A102" s="7"/>
      <c r="C102" t="s">
        <v>39</v>
      </c>
      <c r="D102" s="14">
        <f>SUMIFS($J$38:$J$47,$A$38:$A$47,C102,$D$38:$D$47,"NIFA")</f>
        <v>0</v>
      </c>
      <c r="E102" s="12">
        <f t="shared" si="11"/>
        <v>0</v>
      </c>
      <c r="F102" s="14">
        <f t="shared" si="12"/>
        <v>0</v>
      </c>
      <c r="G102" s="37" t="str">
        <f t="shared" si="13"/>
        <v/>
      </c>
    </row>
    <row r="103" spans="1:14" ht="15" customHeight="1" x14ac:dyDescent="0.25">
      <c r="A103" s="9"/>
      <c r="B103" s="10"/>
      <c r="C103" s="10" t="s">
        <v>40</v>
      </c>
      <c r="D103" s="5">
        <f>SUMIFS($J$38:$J$47,$A$38:$A$47,C103,$D$38:$D$47,"NIFA")</f>
        <v>0</v>
      </c>
      <c r="E103" s="13">
        <f t="shared" si="11"/>
        <v>0</v>
      </c>
      <c r="F103" s="5">
        <f t="shared" si="12"/>
        <v>0</v>
      </c>
      <c r="G103" s="38" t="str">
        <f t="shared" si="13"/>
        <v/>
      </c>
    </row>
    <row r="104" spans="1:14" ht="15" customHeight="1" x14ac:dyDescent="0.25">
      <c r="D104" s="14"/>
      <c r="E104" s="12"/>
      <c r="F104" s="14"/>
      <c r="G104" s="36"/>
    </row>
    <row r="105" spans="1:14" x14ac:dyDescent="0.25">
      <c r="A105" s="131" t="s">
        <v>63</v>
      </c>
      <c r="B105" s="130" t="s">
        <v>260</v>
      </c>
      <c r="C105" s="130"/>
      <c r="D105" s="130"/>
      <c r="E105" s="130"/>
      <c r="F105" s="130"/>
      <c r="G105" s="130"/>
      <c r="H105" s="130"/>
      <c r="I105" s="130"/>
      <c r="J105" s="130"/>
      <c r="K105" s="130"/>
      <c r="L105" s="130"/>
      <c r="M105" s="130"/>
      <c r="N105" s="130"/>
    </row>
    <row r="106" spans="1:14" ht="8.25" customHeight="1" x14ac:dyDescent="0.25"/>
    <row r="107" spans="1:14" ht="34.5" customHeight="1" x14ac:dyDescent="0.25">
      <c r="A107" s="133" t="s">
        <v>246</v>
      </c>
      <c r="B107" s="356"/>
      <c r="C107" s="357"/>
      <c r="D107" s="357"/>
      <c r="E107" s="357"/>
      <c r="F107" s="357"/>
      <c r="G107" s="357"/>
      <c r="H107" s="357"/>
      <c r="I107" s="357"/>
      <c r="J107" s="357"/>
      <c r="K107" s="357"/>
      <c r="L107" s="357"/>
      <c r="M107" s="357"/>
      <c r="N107" s="358"/>
    </row>
    <row r="108" spans="1:14" ht="8.25" customHeight="1" x14ac:dyDescent="0.25"/>
    <row r="109" spans="1:14" ht="26.25" customHeight="1" x14ac:dyDescent="0.25">
      <c r="B109" s="4" t="s">
        <v>64</v>
      </c>
      <c r="C109" s="375"/>
      <c r="D109" s="375"/>
      <c r="E109" s="375"/>
      <c r="F109" s="375"/>
      <c r="G109" s="375"/>
      <c r="I109" s="376"/>
      <c r="J109" s="376"/>
    </row>
    <row r="110" spans="1:14" x14ac:dyDescent="0.25">
      <c r="D110" s="26" t="s">
        <v>261</v>
      </c>
      <c r="J110" s="26" t="s">
        <v>65</v>
      </c>
    </row>
    <row r="111" spans="1:14" ht="6.75" customHeight="1" x14ac:dyDescent="0.25">
      <c r="A111" s="27"/>
      <c r="B111" s="27"/>
      <c r="C111" s="27"/>
      <c r="D111" s="27"/>
      <c r="E111" s="27"/>
      <c r="F111" s="27"/>
      <c r="G111" s="27"/>
      <c r="H111" s="27"/>
      <c r="I111" s="27"/>
      <c r="J111" s="27"/>
      <c r="K111" s="27"/>
      <c r="L111" s="27"/>
      <c r="M111" s="27"/>
      <c r="N111" s="27"/>
    </row>
    <row r="112" spans="1:14" ht="8.25" customHeight="1" x14ac:dyDescent="0.25"/>
    <row r="113" spans="1:14" x14ac:dyDescent="0.25">
      <c r="A113" s="361" t="s">
        <v>66</v>
      </c>
      <c r="B113" s="361"/>
      <c r="C113" s="361"/>
      <c r="D113" s="361"/>
      <c r="E113" s="361"/>
      <c r="F113" s="361"/>
      <c r="G113" s="361"/>
      <c r="H113" s="361"/>
      <c r="I113" s="361"/>
      <c r="J113" s="361"/>
      <c r="K113" s="361"/>
      <c r="L113" s="361"/>
      <c r="M113" s="361"/>
      <c r="N113" s="361"/>
    </row>
    <row r="114" spans="1:14" x14ac:dyDescent="0.25">
      <c r="A114" t="s">
        <v>67</v>
      </c>
      <c r="B114" s="214">
        <f>E9</f>
        <v>0</v>
      </c>
      <c r="C114" t="s">
        <v>68</v>
      </c>
      <c r="D114" s="214" t="e">
        <f>VLOOKUP(I5,Lookup!$E$2:$G$26,3,0)</f>
        <v>#N/A</v>
      </c>
      <c r="E114" t="s">
        <v>69</v>
      </c>
      <c r="F114" s="83" t="s">
        <v>71</v>
      </c>
      <c r="H114" s="4" t="s">
        <v>70</v>
      </c>
      <c r="I114" s="362"/>
      <c r="J114" s="362"/>
      <c r="K114" s="4" t="s">
        <v>302</v>
      </c>
      <c r="L114" s="214">
        <f>VLOOKUP(F114,Lookup!$H$2:$I$26,2,0)</f>
        <v>500420</v>
      </c>
    </row>
    <row r="115" spans="1:14" ht="7.5" customHeight="1" x14ac:dyDescent="0.25"/>
    <row r="116" spans="1:14" x14ac:dyDescent="0.25">
      <c r="B116" s="4" t="s">
        <v>97</v>
      </c>
      <c r="C116" s="363"/>
      <c r="D116" s="363"/>
      <c r="E116" s="363"/>
      <c r="F116" s="363"/>
      <c r="G116" s="4" t="s">
        <v>65</v>
      </c>
      <c r="H116" s="364"/>
      <c r="I116" s="364"/>
      <c r="J116" s="364"/>
    </row>
    <row r="117" spans="1:14" ht="7.5" customHeight="1" x14ac:dyDescent="0.25"/>
    <row r="118" spans="1:14" x14ac:dyDescent="0.25">
      <c r="B118" s="4" t="s">
        <v>98</v>
      </c>
      <c r="C118" s="363"/>
      <c r="D118" s="363"/>
      <c r="E118" s="363"/>
      <c r="F118" s="363"/>
      <c r="G118" s="4" t="s">
        <v>65</v>
      </c>
      <c r="H118" s="364"/>
      <c r="I118" s="364"/>
      <c r="J118" s="364"/>
    </row>
    <row r="120" spans="1:14" ht="15" customHeight="1" x14ac:dyDescent="0.25">
      <c r="A120" s="2" t="s">
        <v>99</v>
      </c>
      <c r="B120" s="28" t="s">
        <v>100</v>
      </c>
      <c r="C120" s="378" t="s">
        <v>101</v>
      </c>
      <c r="D120" s="378"/>
      <c r="E120" s="378"/>
      <c r="F120" s="378"/>
      <c r="G120" s="378"/>
      <c r="H120" s="378"/>
      <c r="I120" s="378"/>
      <c r="J120" s="378"/>
      <c r="K120" s="378"/>
      <c r="L120" s="378"/>
      <c r="M120" s="378"/>
      <c r="N120" s="378"/>
    </row>
    <row r="121" spans="1:14" x14ac:dyDescent="0.25">
      <c r="B121" s="94"/>
      <c r="C121" s="374"/>
      <c r="D121" s="374"/>
      <c r="E121" s="374"/>
      <c r="F121" s="374"/>
      <c r="G121" s="374"/>
      <c r="H121" s="374"/>
      <c r="I121" s="374"/>
      <c r="J121" s="374"/>
      <c r="K121" s="374"/>
      <c r="L121" s="374"/>
      <c r="M121" s="374"/>
      <c r="N121" s="374"/>
    </row>
    <row r="122" spans="1:14" x14ac:dyDescent="0.25">
      <c r="B122" s="94"/>
      <c r="C122" s="374"/>
      <c r="D122" s="374"/>
      <c r="E122" s="374"/>
      <c r="F122" s="374"/>
      <c r="G122" s="374"/>
      <c r="H122" s="374"/>
      <c r="I122" s="374"/>
      <c r="J122" s="374"/>
      <c r="K122" s="374"/>
      <c r="L122" s="374"/>
      <c r="M122" s="374"/>
      <c r="N122" s="374"/>
    </row>
    <row r="123" spans="1:14" x14ac:dyDescent="0.25">
      <c r="B123" s="94"/>
      <c r="C123" s="374"/>
      <c r="D123" s="374"/>
      <c r="E123" s="374"/>
      <c r="F123" s="374"/>
      <c r="G123" s="374"/>
      <c r="H123" s="374"/>
      <c r="I123" s="374"/>
      <c r="J123" s="374"/>
      <c r="K123" s="374"/>
      <c r="L123" s="374"/>
      <c r="M123" s="374"/>
      <c r="N123" s="374"/>
    </row>
    <row r="124" spans="1:14" x14ac:dyDescent="0.25">
      <c r="B124" s="94"/>
      <c r="C124" s="374"/>
      <c r="D124" s="374"/>
      <c r="E124" s="374"/>
      <c r="F124" s="374"/>
      <c r="G124" s="374"/>
      <c r="H124" s="374"/>
      <c r="I124" s="374"/>
      <c r="J124" s="374"/>
      <c r="K124" s="374"/>
      <c r="L124" s="374"/>
      <c r="M124" s="374"/>
      <c r="N124" s="374"/>
    </row>
    <row r="125" spans="1:14" x14ac:dyDescent="0.25">
      <c r="B125" s="94"/>
      <c r="C125" s="374"/>
      <c r="D125" s="374"/>
      <c r="E125" s="374"/>
      <c r="F125" s="374"/>
      <c r="G125" s="374"/>
      <c r="H125" s="374"/>
      <c r="I125" s="374"/>
      <c r="J125" s="374"/>
      <c r="K125" s="374"/>
      <c r="L125" s="374"/>
      <c r="M125" s="374"/>
      <c r="N125" s="374"/>
    </row>
    <row r="126" spans="1:14" x14ac:dyDescent="0.25">
      <c r="B126" s="94"/>
      <c r="C126" s="374"/>
      <c r="D126" s="374"/>
      <c r="E126" s="374"/>
      <c r="F126" s="374"/>
      <c r="G126" s="374"/>
      <c r="H126" s="374"/>
      <c r="I126" s="374"/>
      <c r="J126" s="374"/>
      <c r="K126" s="374"/>
      <c r="L126" s="374"/>
      <c r="M126" s="374"/>
      <c r="N126" s="374"/>
    </row>
  </sheetData>
  <sheetProtection algorithmName="SHA-512" hashValue="KCe3q0u7ppeaBlRCJHe59aGHjyC1AluPq5460oH/q0xwkkbSL0N5LfPwjLd5yqsCazUQx71pByReyoI59q36Wg==" saltValue="c7qzEQARoKAPLyNCYHpGgw==" spinCount="100000" sheet="1" objects="1" scenarios="1"/>
  <mergeCells count="29">
    <mergeCell ref="E5:G5"/>
    <mergeCell ref="I5:K5"/>
    <mergeCell ref="C126:N126"/>
    <mergeCell ref="C120:N120"/>
    <mergeCell ref="C121:N121"/>
    <mergeCell ref="C122:N122"/>
    <mergeCell ref="C123:N123"/>
    <mergeCell ref="C124:N124"/>
    <mergeCell ref="A49:N49"/>
    <mergeCell ref="B16:N16"/>
    <mergeCell ref="B107:N107"/>
    <mergeCell ref="A113:N113"/>
    <mergeCell ref="E9:F9"/>
    <mergeCell ref="A3:N3"/>
    <mergeCell ref="A1:N1"/>
    <mergeCell ref="A2:N2"/>
    <mergeCell ref="C125:N125"/>
    <mergeCell ref="C116:F116"/>
    <mergeCell ref="H116:J116"/>
    <mergeCell ref="C118:F118"/>
    <mergeCell ref="H118:J118"/>
    <mergeCell ref="C60:G60"/>
    <mergeCell ref="I60:J60"/>
    <mergeCell ref="I71:J71"/>
    <mergeCell ref="C109:G109"/>
    <mergeCell ref="I109:J109"/>
    <mergeCell ref="I114:J114"/>
    <mergeCell ref="B7:C7"/>
    <mergeCell ref="B5:C5"/>
  </mergeCells>
  <pageMargins left="0.5" right="0.5" top="0.5" bottom="0.5" header="0.5" footer="0.5"/>
  <pageSetup scale="23" orientation="portrait" horizontalDpi="4294967295" verticalDpi="4294967295"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Lookup!$A$11:$A$15</xm:f>
          </x14:formula1>
          <xm:sqref>J54</xm:sqref>
        </x14:dataValidation>
        <x14:dataValidation type="list" allowBlank="1" showInputMessage="1" showErrorMessage="1" xr:uid="{00000000-0002-0000-0400-000001000000}">
          <x14:formula1>
            <xm:f>Lookup!$A$1:$A$2</xm:f>
          </x14:formula1>
          <xm:sqref>E28 E20 I71:J71 I114:J114 C52 E56</xm:sqref>
        </x14:dataValidation>
        <x14:dataValidation type="list" allowBlank="1" showInputMessage="1" showErrorMessage="1" xr:uid="{00000000-0002-0000-0400-000002000000}">
          <x14:formula1>
            <xm:f>Lookup!$A$21:$A$25</xm:f>
          </x14:formula1>
          <xm:sqref>F114</xm:sqref>
        </x14:dataValidation>
        <x14:dataValidation type="list" allowBlank="1" showInputMessage="1" showErrorMessage="1" xr:uid="{00000000-0002-0000-0400-000003000000}">
          <x14:formula1>
            <xm:f>Lookup!$C$1:$C$7</xm:f>
          </x14:formula1>
          <xm:sqref>D38:D47</xm:sqref>
        </x14:dataValidation>
        <x14:dataValidation type="list" allowBlank="1" showInputMessage="1" showErrorMessage="1" xr:uid="{00000000-0002-0000-0400-000004000000}">
          <x14:formula1>
            <xm:f>Lookup!$A$32:$A$33</xm:f>
          </x14:formula1>
          <xm:sqref>B9</xm:sqref>
        </x14:dataValidation>
        <x14:dataValidation type="list" allowBlank="1" showInputMessage="1" showErrorMessage="1" xr:uid="{00000000-0002-0000-0400-000005000000}">
          <x14:formula1>
            <xm:f>Lookup!$C$30:$C$44</xm:f>
          </x14:formula1>
          <xm:sqref>E5:G5</xm:sqref>
        </x14:dataValidation>
        <x14:dataValidation type="list" allowBlank="1" showInputMessage="1" showErrorMessage="1" xr:uid="{00000000-0002-0000-0400-000007000000}">
          <x14:formula1>
            <xm:f>Lookup!$A$6:$A$8</xm:f>
          </x14:formula1>
          <xm:sqref>A38:A47</xm:sqref>
        </x14:dataValidation>
        <x14:dataValidation type="list" allowBlank="1" showInputMessage="1" showErrorMessage="1" xr:uid="{00000000-0002-0000-0400-000008000000}">
          <x14:formula1>
            <xm:f>Lookup!$E$2:$E$16</xm:f>
          </x14:formula1>
          <xm:sqref>I5:K5</xm:sqref>
        </x14:dataValidation>
        <x14:dataValidation type="list" allowBlank="1" showInputMessage="1" showErrorMessage="1" xr:uid="{00000000-0002-0000-0400-000009000000}">
          <x14:formula1>
            <xm:f>Lookup!$E$2:$E$26</xm:f>
          </x14:formula1>
          <xm:sqref>I6:K6</xm:sqref>
        </x14:dataValidation>
        <x14:dataValidation type="list" allowBlank="1" showInputMessage="1" showErrorMessage="1" xr:uid="{32C7A578-1ECF-4994-B58E-39D442AE47D1}">
          <x14:formula1>
            <xm:f>Lookup!$K$2:$K$12</xm:f>
          </x14:formula1>
          <xm:sqref>F38:F47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7" tint="-0.249977111117893"/>
    <pageSetUpPr fitToPage="1"/>
  </sheetPr>
  <dimension ref="A1:P112"/>
  <sheetViews>
    <sheetView zoomScale="80" zoomScaleNormal="80" workbookViewId="0">
      <selection activeCell="D82" sqref="D82"/>
    </sheetView>
  </sheetViews>
  <sheetFormatPr defaultRowHeight="15" x14ac:dyDescent="0.25"/>
  <cols>
    <col min="1" max="1" width="11.7109375" customWidth="1"/>
    <col min="2" max="2" width="14.5703125" customWidth="1"/>
    <col min="3" max="3" width="16.28515625" customWidth="1"/>
    <col min="4" max="4" width="12.7109375" customWidth="1"/>
    <col min="5" max="5" width="14.5703125" customWidth="1"/>
    <col min="6" max="6" width="16.42578125" customWidth="1"/>
    <col min="7" max="7" width="16" customWidth="1"/>
    <col min="8" max="8" width="14.140625" customWidth="1"/>
    <col min="9" max="9" width="16" customWidth="1"/>
    <col min="10" max="10" width="13.140625" customWidth="1"/>
    <col min="11" max="11" width="11.5703125" customWidth="1"/>
    <col min="12" max="12" width="13" customWidth="1"/>
    <col min="13" max="13" width="14.42578125" customWidth="1"/>
    <col min="14" max="14" width="13.42578125" customWidth="1"/>
    <col min="15" max="15" width="18.5703125" customWidth="1"/>
    <col min="16" max="16" width="56.85546875" customWidth="1"/>
  </cols>
  <sheetData>
    <row r="1" spans="1:16" ht="18.75" x14ac:dyDescent="0.3">
      <c r="A1" s="384" t="s">
        <v>148</v>
      </c>
      <c r="B1" s="384"/>
      <c r="C1" s="384"/>
      <c r="D1" s="384"/>
      <c r="E1" s="384"/>
      <c r="F1" s="384"/>
      <c r="G1" s="384"/>
      <c r="H1" s="384"/>
      <c r="I1" s="384"/>
      <c r="J1" s="384"/>
      <c r="K1" s="384"/>
      <c r="L1" s="384"/>
      <c r="M1" s="384"/>
      <c r="N1" s="384"/>
      <c r="O1" s="384"/>
      <c r="P1" s="384"/>
    </row>
    <row r="2" spans="1:16" ht="18.75" x14ac:dyDescent="0.3">
      <c r="A2" s="384" t="s">
        <v>511</v>
      </c>
      <c r="B2" s="384"/>
      <c r="C2" s="384"/>
      <c r="D2" s="384"/>
      <c r="E2" s="384"/>
      <c r="F2" s="384"/>
      <c r="G2" s="384"/>
      <c r="H2" s="384"/>
      <c r="I2" s="384"/>
      <c r="J2" s="384"/>
      <c r="K2" s="384"/>
      <c r="L2" s="384"/>
      <c r="M2" s="384"/>
      <c r="N2" s="384"/>
      <c r="O2" s="384"/>
      <c r="P2" s="384"/>
    </row>
    <row r="3" spans="1:16" ht="18.75" x14ac:dyDescent="0.3">
      <c r="A3" s="384" t="s">
        <v>149</v>
      </c>
      <c r="B3" s="384"/>
      <c r="C3" s="384"/>
      <c r="D3" s="384"/>
      <c r="E3" s="384"/>
      <c r="F3" s="384"/>
      <c r="G3" s="384"/>
      <c r="H3" s="384"/>
      <c r="I3" s="384"/>
      <c r="J3" s="384"/>
      <c r="K3" s="384"/>
      <c r="L3" s="384"/>
      <c r="M3" s="384"/>
      <c r="N3" s="384"/>
      <c r="O3" s="384"/>
      <c r="P3" s="384"/>
    </row>
    <row r="4" spans="1:16" x14ac:dyDescent="0.25">
      <c r="A4" s="351" t="s">
        <v>385</v>
      </c>
      <c r="B4" s="351"/>
      <c r="C4" s="351"/>
      <c r="D4" s="351"/>
      <c r="E4" s="351"/>
      <c r="F4" s="351"/>
      <c r="G4" s="351"/>
      <c r="H4" s="351"/>
      <c r="I4" s="351"/>
      <c r="J4" s="351"/>
      <c r="K4" s="351"/>
      <c r="L4" s="351"/>
      <c r="M4" s="351"/>
      <c r="N4" s="351"/>
      <c r="O4" s="351"/>
      <c r="P4" s="351"/>
    </row>
    <row r="5" spans="1:16" ht="7.5" customHeight="1" x14ac:dyDescent="0.25"/>
    <row r="6" spans="1:16" x14ac:dyDescent="0.25">
      <c r="A6" s="24" t="s">
        <v>1</v>
      </c>
      <c r="B6" s="383"/>
      <c r="C6" s="383"/>
      <c r="D6" s="383"/>
      <c r="F6" s="24" t="s">
        <v>2</v>
      </c>
      <c r="G6" s="383"/>
      <c r="H6" s="383"/>
      <c r="I6" s="383"/>
      <c r="J6" s="383"/>
      <c r="L6" s="24" t="s">
        <v>255</v>
      </c>
      <c r="M6" s="382"/>
      <c r="N6" s="382"/>
    </row>
    <row r="7" spans="1:16" ht="7.5" customHeight="1" x14ac:dyDescent="0.25"/>
    <row r="8" spans="1:16" ht="13.5" customHeight="1" x14ac:dyDescent="0.25">
      <c r="B8" s="24" t="s">
        <v>245</v>
      </c>
      <c r="C8" s="134"/>
      <c r="D8" s="36" t="str">
        <f>IF(C8="Revision","Revisions require a comment in section 4 explaining the change","")</f>
        <v/>
      </c>
      <c r="E8" s="36"/>
      <c r="F8" s="24" t="s">
        <v>389</v>
      </c>
      <c r="G8" s="134"/>
      <c r="L8" s="24" t="s">
        <v>284</v>
      </c>
      <c r="M8" s="134"/>
    </row>
    <row r="9" spans="1:16" ht="7.5" customHeight="1" x14ac:dyDescent="0.25"/>
    <row r="10" spans="1:16" ht="22.5" customHeight="1" x14ac:dyDescent="0.25">
      <c r="A10" s="365" t="s">
        <v>182</v>
      </c>
      <c r="B10" s="365"/>
      <c r="C10" s="365"/>
      <c r="D10" s="365"/>
      <c r="E10" s="365"/>
      <c r="F10" s="365"/>
      <c r="G10" s="365"/>
      <c r="H10" s="365"/>
      <c r="I10" s="365"/>
      <c r="J10" s="365"/>
      <c r="K10" s="365"/>
      <c r="L10" s="365"/>
      <c r="M10" s="365"/>
      <c r="N10" s="365"/>
      <c r="O10" s="365"/>
      <c r="P10" s="365"/>
    </row>
    <row r="11" spans="1:16" ht="22.5" customHeight="1" x14ac:dyDescent="0.25">
      <c r="A11" s="365" t="s">
        <v>183</v>
      </c>
      <c r="B11" s="365"/>
      <c r="C11" s="365"/>
      <c r="D11" s="365"/>
      <c r="E11" s="365"/>
      <c r="F11" s="365"/>
      <c r="G11" s="365"/>
      <c r="H11" s="365"/>
      <c r="I11" s="365"/>
      <c r="J11" s="365"/>
      <c r="K11" s="365"/>
      <c r="L11" s="365"/>
      <c r="M11" s="365"/>
      <c r="N11" s="365"/>
      <c r="O11" s="365"/>
      <c r="P11" s="365"/>
    </row>
    <row r="12" spans="1:16" x14ac:dyDescent="0.25">
      <c r="B12" t="s">
        <v>262</v>
      </c>
    </row>
    <row r="13" spans="1:16" x14ac:dyDescent="0.25">
      <c r="B13" s="98"/>
      <c r="C13" t="s">
        <v>250</v>
      </c>
      <c r="G13" s="101" t="b">
        <v>0</v>
      </c>
    </row>
    <row r="14" spans="1:16" x14ac:dyDescent="0.25">
      <c r="B14" s="98"/>
      <c r="C14" t="s">
        <v>251</v>
      </c>
      <c r="G14" s="101" t="b">
        <v>0</v>
      </c>
    </row>
    <row r="15" spans="1:16" x14ac:dyDescent="0.25">
      <c r="B15" s="98"/>
      <c r="C15" t="s">
        <v>252</v>
      </c>
      <c r="G15" s="101" t="b">
        <v>0</v>
      </c>
    </row>
    <row r="16" spans="1:16" ht="11.25" customHeight="1" x14ac:dyDescent="0.25"/>
    <row r="17" spans="1:16" x14ac:dyDescent="0.25">
      <c r="A17" s="137" t="s">
        <v>150</v>
      </c>
      <c r="B17" s="138"/>
      <c r="C17" s="138"/>
      <c r="D17" s="143" t="s">
        <v>151</v>
      </c>
      <c r="E17" s="138"/>
      <c r="F17" s="138"/>
      <c r="G17" s="138"/>
      <c r="H17" s="138"/>
      <c r="I17" s="138"/>
      <c r="J17" s="138"/>
      <c r="K17" s="138"/>
      <c r="L17" s="138"/>
      <c r="M17" s="138"/>
      <c r="N17" s="138"/>
      <c r="O17" s="138"/>
      <c r="P17" s="138"/>
    </row>
    <row r="18" spans="1:16" ht="7.5" customHeight="1" x14ac:dyDescent="0.25"/>
    <row r="19" spans="1:16" x14ac:dyDescent="0.25">
      <c r="A19" t="s">
        <v>152</v>
      </c>
    </row>
    <row r="20" spans="1:16" ht="58.5" customHeight="1" x14ac:dyDescent="0.25">
      <c r="A20" s="135"/>
      <c r="B20" s="356"/>
      <c r="C20" s="357"/>
      <c r="D20" s="357"/>
      <c r="E20" s="357"/>
      <c r="F20" s="357"/>
      <c r="G20" s="357"/>
      <c r="H20" s="357"/>
      <c r="I20" s="357"/>
      <c r="J20" s="357"/>
      <c r="K20" s="357"/>
      <c r="L20" s="357"/>
      <c r="M20" s="357"/>
      <c r="N20" s="357"/>
      <c r="O20" s="357"/>
      <c r="P20" s="358"/>
    </row>
    <row r="21" spans="1:16" ht="7.5" customHeight="1" x14ac:dyDescent="0.25"/>
    <row r="22" spans="1:16" ht="14.25" customHeight="1" x14ac:dyDescent="0.25">
      <c r="A22" s="4" t="s">
        <v>153</v>
      </c>
      <c r="B22" t="s">
        <v>201</v>
      </c>
      <c r="E22" s="4" t="s">
        <v>202</v>
      </c>
      <c r="F22" s="326"/>
      <c r="G22" s="4" t="s">
        <v>154</v>
      </c>
      <c r="H22" s="326"/>
      <c r="J22" s="4" t="s">
        <v>435</v>
      </c>
      <c r="K22" s="325"/>
    </row>
    <row r="23" spans="1:16" ht="14.25" customHeight="1" x14ac:dyDescent="0.25">
      <c r="A23" s="4"/>
      <c r="E23" s="4" t="s">
        <v>202</v>
      </c>
      <c r="F23" s="327"/>
      <c r="G23" s="4" t="s">
        <v>154</v>
      </c>
      <c r="H23" s="326"/>
      <c r="J23" s="19" t="s">
        <v>436</v>
      </c>
      <c r="K23" s="325"/>
    </row>
    <row r="24" spans="1:16" x14ac:dyDescent="0.25">
      <c r="A24" s="4"/>
      <c r="E24" s="4" t="s">
        <v>202</v>
      </c>
      <c r="F24" s="327"/>
      <c r="G24" s="4" t="s">
        <v>154</v>
      </c>
      <c r="H24" s="326"/>
      <c r="K24" s="325"/>
    </row>
    <row r="25" spans="1:16" x14ac:dyDescent="0.25">
      <c r="A25" s="4"/>
      <c r="E25" s="4" t="s">
        <v>202</v>
      </c>
      <c r="F25" s="327"/>
      <c r="G25" s="4" t="s">
        <v>154</v>
      </c>
      <c r="H25" s="326"/>
      <c r="K25" s="325"/>
    </row>
    <row r="26" spans="1:16" ht="7.5" customHeight="1" x14ac:dyDescent="0.25">
      <c r="A26" s="4"/>
      <c r="F26" s="63"/>
      <c r="H26" s="64"/>
    </row>
    <row r="27" spans="1:16" x14ac:dyDescent="0.25">
      <c r="A27" s="4" t="s">
        <v>155</v>
      </c>
      <c r="B27" t="s">
        <v>156</v>
      </c>
      <c r="H27" s="149">
        <f>SUM(J30:J33)</f>
        <v>0</v>
      </c>
      <c r="L27" s="35">
        <f>L30*12</f>
        <v>0</v>
      </c>
    </row>
    <row r="28" spans="1:16" x14ac:dyDescent="0.25">
      <c r="A28" s="4" t="s">
        <v>157</v>
      </c>
      <c r="B28" t="s">
        <v>418</v>
      </c>
      <c r="D28" s="165" t="s">
        <v>249</v>
      </c>
    </row>
    <row r="29" spans="1:16" ht="45" customHeight="1" x14ac:dyDescent="0.25">
      <c r="A29" s="145" t="s">
        <v>11</v>
      </c>
      <c r="B29" s="385" t="s">
        <v>360</v>
      </c>
      <c r="C29" s="385"/>
      <c r="D29" s="385"/>
      <c r="E29" s="145" t="s">
        <v>158</v>
      </c>
      <c r="F29" s="146" t="s">
        <v>437</v>
      </c>
      <c r="G29" s="277" t="s">
        <v>419</v>
      </c>
      <c r="H29" s="146" t="s">
        <v>197</v>
      </c>
      <c r="I29" s="274" t="s">
        <v>496</v>
      </c>
      <c r="J29" s="146" t="s">
        <v>196</v>
      </c>
      <c r="K29" s="147" t="s">
        <v>222</v>
      </c>
      <c r="L29" s="146" t="s">
        <v>243</v>
      </c>
      <c r="M29" s="146" t="s">
        <v>14</v>
      </c>
      <c r="N29" s="146" t="s">
        <v>362</v>
      </c>
      <c r="O29" s="146" t="s">
        <v>15</v>
      </c>
      <c r="P29" s="148" t="s">
        <v>361</v>
      </c>
    </row>
    <row r="30" spans="1:16" ht="30" customHeight="1" x14ac:dyDescent="0.25">
      <c r="A30" s="96"/>
      <c r="B30" s="387"/>
      <c r="C30" s="388"/>
      <c r="D30" s="389"/>
      <c r="E30" s="273"/>
      <c r="F30" s="286"/>
      <c r="G30" s="100" t="s">
        <v>21</v>
      </c>
      <c r="H30" s="67">
        <f>F30*$F$57</f>
        <v>0</v>
      </c>
      <c r="I30" s="60">
        <f>H30*0.102</f>
        <v>0</v>
      </c>
      <c r="J30" s="68">
        <f>_xlfn.IFNA(ROUNDUP(((VLOOKUP(A30,Lookup!$E$49:$H$72,4,0)*F30)/8),0),0)</f>
        <v>0</v>
      </c>
      <c r="K30" s="75" t="str">
        <f>IF(AND(E30="NIH",(F30*Lookup!$M$3)&lt;H30),"OVER CAP","")</f>
        <v/>
      </c>
      <c r="L30" s="129">
        <f>IF(E30="NIH",Lookup!$M$3,IF(E30="NSF",Lookup!$L$17,IF(E30="NIFA",Lookup!$M$23,IF(E30="Other",$I$37,0))))</f>
        <v>0</v>
      </c>
      <c r="M30" s="276" t="str">
        <f>IF(G30="Yes","No",IF(AND(L30&gt;0,H30&gt;(F30*L30)),"Yes","No"))</f>
        <v>No</v>
      </c>
      <c r="N30" s="60">
        <f>IF(G30="Yes",L30,IF(M30="Yes",H30-O30,H30))</f>
        <v>0</v>
      </c>
      <c r="O30" s="60">
        <f>IF(M30="Yes",H30-(F30*L30),0)</f>
        <v>0</v>
      </c>
      <c r="P30" s="275"/>
    </row>
    <row r="31" spans="1:16" ht="30" customHeight="1" x14ac:dyDescent="0.25">
      <c r="A31" s="96"/>
      <c r="B31" s="390"/>
      <c r="C31" s="390"/>
      <c r="D31" s="390"/>
      <c r="E31" s="273"/>
      <c r="F31" s="286"/>
      <c r="G31" s="100" t="s">
        <v>21</v>
      </c>
      <c r="H31" s="67">
        <f>F31*$F$57</f>
        <v>0</v>
      </c>
      <c r="I31" s="60">
        <f t="shared" ref="I31:I33" si="0">H31*0.102</f>
        <v>0</v>
      </c>
      <c r="J31" s="68">
        <f>_xlfn.IFNA(ROUNDUP(((VLOOKUP(A31,Lookup!$E$49:$H$72,4,0)*F31)/8),0),0)</f>
        <v>0</v>
      </c>
      <c r="K31" s="75" t="str">
        <f>IF(AND(E31="NIH",(F31*Lookup!$M$3)&lt;H31),"OVER CAP","")</f>
        <v/>
      </c>
      <c r="L31" s="129">
        <f>IF(E31="NIH",Lookup!$M$3,IF(E31="NSF",Lookup!$L$17,IF(E31="NIFA",Lookup!$M$23,IF(E31="Other",$I$37,0))))</f>
        <v>0</v>
      </c>
      <c r="M31" s="276" t="str">
        <f>IF(G31="Yes","No",IF(AND(L31&gt;0,H31&gt;(F31*L31)),"Yes","No"))</f>
        <v>No</v>
      </c>
      <c r="N31" s="60">
        <f t="shared" ref="N31:N33" si="1">IF(G31="Yes",L31,IF(M31="Yes",H31-O31,H31))</f>
        <v>0</v>
      </c>
      <c r="O31" s="60">
        <f>IF(M31="Yes",H31-(F31*L31),0)</f>
        <v>0</v>
      </c>
      <c r="P31" s="275"/>
    </row>
    <row r="32" spans="1:16" ht="30.75" customHeight="1" x14ac:dyDescent="0.25">
      <c r="A32" s="96"/>
      <c r="B32" s="390"/>
      <c r="C32" s="390"/>
      <c r="D32" s="390"/>
      <c r="E32" s="273"/>
      <c r="F32" s="286"/>
      <c r="G32" s="100" t="s">
        <v>21</v>
      </c>
      <c r="H32" s="67">
        <f>F32*$F$57</f>
        <v>0</v>
      </c>
      <c r="I32" s="60">
        <f t="shared" si="0"/>
        <v>0</v>
      </c>
      <c r="J32" s="68">
        <f>_xlfn.IFNA(ROUNDUP(((VLOOKUP(A32,Lookup!$E$49:$H$72,4,0)*F32)/8),0),0)</f>
        <v>0</v>
      </c>
      <c r="K32" s="75" t="str">
        <f>IF(AND(E32="NIH",(F32*Lookup!$M$3)&lt;H32),"OVER CAP","")</f>
        <v/>
      </c>
      <c r="L32" s="129">
        <f>IF(E32="NIH",Lookup!$M$3,IF(E32="NSF",Lookup!$L$17,IF(E32="NIFA",Lookup!$M$23,IF(E32="Other",$I$37,0))))</f>
        <v>0</v>
      </c>
      <c r="M32" s="276" t="str">
        <f t="shared" ref="M32:M33" si="2">IF(G32="Yes","No",IF(AND(L32&gt;0,H32&gt;(F32*L32)),"Yes","No"))</f>
        <v>No</v>
      </c>
      <c r="N32" s="60">
        <f t="shared" si="1"/>
        <v>0</v>
      </c>
      <c r="O32" s="60">
        <f>IF(M32="Yes",H32-(F32*L32),0)</f>
        <v>0</v>
      </c>
      <c r="P32" s="275"/>
    </row>
    <row r="33" spans="1:16" ht="30" customHeight="1" x14ac:dyDescent="0.25">
      <c r="A33" s="96"/>
      <c r="B33" s="390"/>
      <c r="C33" s="390"/>
      <c r="D33" s="390"/>
      <c r="E33" s="273"/>
      <c r="F33" s="286"/>
      <c r="G33" s="100" t="s">
        <v>21</v>
      </c>
      <c r="H33" s="67">
        <f>F33*$F$57</f>
        <v>0</v>
      </c>
      <c r="I33" s="60">
        <f t="shared" si="0"/>
        <v>0</v>
      </c>
      <c r="J33" s="68">
        <f>_xlfn.IFNA(ROUNDUP(((VLOOKUP(A33,Lookup!$E$49:$H$72,4,0)*F33)/8),0),0)</f>
        <v>0</v>
      </c>
      <c r="K33" s="75" t="str">
        <f>IF(AND(E33="NIH",(F33*Lookup!$M$3)&lt;H33),"OVER CAP","")</f>
        <v/>
      </c>
      <c r="L33" s="129">
        <f>IF(E33="NIH",Lookup!$M$3,IF(E33="NSF",Lookup!$L$17,IF(E33="NIFA",Lookup!$M$23,IF(E33="Other",$I$37,0))))</f>
        <v>0</v>
      </c>
      <c r="M33" s="276" t="str">
        <f t="shared" si="2"/>
        <v>No</v>
      </c>
      <c r="N33" s="60">
        <f t="shared" si="1"/>
        <v>0</v>
      </c>
      <c r="O33" s="60">
        <f>IF(M33="Yes",H33-(F33*L33),0)</f>
        <v>0</v>
      </c>
      <c r="P33" s="275"/>
    </row>
    <row r="34" spans="1:16" s="2" customFormat="1" x14ac:dyDescent="0.25">
      <c r="A34" s="239" t="s">
        <v>217</v>
      </c>
      <c r="B34" s="240"/>
      <c r="C34" s="240"/>
      <c r="D34" s="240"/>
      <c r="E34" s="241" t="str">
        <f>IF(F34&gt;1,"OVER ADD'L COMP LIMIT","")</f>
        <v/>
      </c>
      <c r="F34" s="287">
        <f>SUM(F30:F33)</f>
        <v>0</v>
      </c>
      <c r="G34" s="242"/>
      <c r="H34" s="243">
        <f>SUM(H30:H33)</f>
        <v>0</v>
      </c>
      <c r="I34" s="243">
        <f>SUM(I30:I33)</f>
        <v>0</v>
      </c>
      <c r="J34" s="245">
        <f>SUM(J30:J33)</f>
        <v>0</v>
      </c>
      <c r="K34" s="244"/>
      <c r="L34" s="243">
        <f>SUM(L30:L33)</f>
        <v>0</v>
      </c>
      <c r="M34" s="239"/>
      <c r="N34" s="243">
        <f>SUM(N30:N33)</f>
        <v>0</v>
      </c>
      <c r="O34" s="239"/>
      <c r="P34" s="239"/>
    </row>
    <row r="35" spans="1:16" ht="16.5" customHeight="1" x14ac:dyDescent="0.25">
      <c r="A35" s="253" t="s">
        <v>420</v>
      </c>
    </row>
    <row r="36" spans="1:16" ht="17.25" x14ac:dyDescent="0.25">
      <c r="A36" s="4" t="s">
        <v>159</v>
      </c>
      <c r="B36" t="s">
        <v>412</v>
      </c>
      <c r="E36" s="97"/>
    </row>
    <row r="37" spans="1:16" x14ac:dyDescent="0.25">
      <c r="A37" s="4" t="s">
        <v>160</v>
      </c>
      <c r="B37" t="s">
        <v>413</v>
      </c>
      <c r="E37" s="167"/>
      <c r="F37" s="98" t="s">
        <v>162</v>
      </c>
      <c r="G37" s="98" t="s">
        <v>163</v>
      </c>
      <c r="H37" s="98" t="s">
        <v>164</v>
      </c>
      <c r="I37" s="164"/>
    </row>
    <row r="38" spans="1:16" x14ac:dyDescent="0.25">
      <c r="A38" s="4" t="s">
        <v>161</v>
      </c>
      <c r="B38" s="2" t="s">
        <v>512</v>
      </c>
      <c r="F38" s="134"/>
      <c r="G38" s="98"/>
      <c r="H38" s="98"/>
      <c r="I38" s="163"/>
    </row>
    <row r="39" spans="1:16" x14ac:dyDescent="0.25">
      <c r="A39" s="4" t="s">
        <v>291</v>
      </c>
      <c r="B39" t="s">
        <v>181</v>
      </c>
    </row>
    <row r="40" spans="1:16" ht="43.5" customHeight="1" x14ac:dyDescent="0.25">
      <c r="B40" s="356"/>
      <c r="C40" s="357"/>
      <c r="D40" s="357"/>
      <c r="E40" s="357"/>
      <c r="F40" s="357"/>
      <c r="G40" s="357"/>
      <c r="H40" s="357"/>
      <c r="I40" s="357"/>
      <c r="J40" s="357"/>
      <c r="K40" s="357"/>
      <c r="L40" s="357"/>
      <c r="M40" s="357"/>
      <c r="N40" s="357"/>
      <c r="O40" s="357"/>
      <c r="P40" s="358"/>
    </row>
    <row r="41" spans="1:16" ht="7.5" customHeight="1" x14ac:dyDescent="0.25">
      <c r="B41" s="56"/>
      <c r="C41" s="56"/>
      <c r="D41" s="56"/>
      <c r="E41" s="56"/>
      <c r="F41" s="56"/>
      <c r="G41" s="56"/>
      <c r="H41" s="56"/>
      <c r="I41" s="56"/>
      <c r="J41" s="56"/>
      <c r="K41" s="56"/>
    </row>
    <row r="42" spans="1:16" ht="24.75" customHeight="1" x14ac:dyDescent="0.25">
      <c r="A42" t="s">
        <v>165</v>
      </c>
      <c r="D42" s="386"/>
      <c r="E42" s="386"/>
      <c r="F42" s="386"/>
      <c r="G42" s="386"/>
      <c r="I42" s="95"/>
    </row>
    <row r="43" spans="1:16" x14ac:dyDescent="0.25">
      <c r="E43" s="26" t="s">
        <v>285</v>
      </c>
      <c r="I43" s="57" t="s">
        <v>65</v>
      </c>
    </row>
    <row r="44" spans="1:16" x14ac:dyDescent="0.25">
      <c r="D44" s="19" t="s">
        <v>290</v>
      </c>
      <c r="E44" s="26"/>
      <c r="I44" s="57"/>
    </row>
    <row r="45" spans="1:16" ht="7.5" customHeight="1" x14ac:dyDescent="0.25"/>
    <row r="46" spans="1:16" s="20" customFormat="1" ht="12.75" x14ac:dyDescent="0.2">
      <c r="A46" s="20" t="s">
        <v>203</v>
      </c>
    </row>
    <row r="47" spans="1:16" s="20" customFormat="1" ht="23.25" customHeight="1" x14ac:dyDescent="0.2">
      <c r="A47" s="391" t="s">
        <v>204</v>
      </c>
      <c r="B47" s="391"/>
      <c r="C47" s="391"/>
      <c r="D47" s="391"/>
      <c r="E47" s="391"/>
      <c r="F47" s="391"/>
      <c r="G47" s="391"/>
      <c r="H47" s="391"/>
      <c r="I47" s="391"/>
      <c r="J47" s="391"/>
      <c r="K47" s="104"/>
    </row>
    <row r="48" spans="1:16" s="20" customFormat="1" ht="12.75" x14ac:dyDescent="0.2">
      <c r="A48" s="20" t="s">
        <v>205</v>
      </c>
    </row>
    <row r="49" spans="1:16" s="20" customFormat="1" ht="12.75" x14ac:dyDescent="0.2">
      <c r="A49" s="20" t="s">
        <v>206</v>
      </c>
    </row>
    <row r="50" spans="1:16" ht="5.25" customHeight="1" x14ac:dyDescent="0.25">
      <c r="A50" s="10"/>
      <c r="B50" s="10"/>
      <c r="C50" s="10"/>
      <c r="D50" s="10"/>
      <c r="E50" s="10"/>
      <c r="F50" s="10"/>
      <c r="G50" s="10"/>
      <c r="H50" s="10"/>
      <c r="I50" s="10"/>
      <c r="J50" s="10"/>
      <c r="K50" s="10"/>
      <c r="L50" s="10"/>
      <c r="M50" s="10"/>
      <c r="N50" s="10"/>
      <c r="O50" s="10"/>
      <c r="P50" s="10"/>
    </row>
    <row r="51" spans="1:16" x14ac:dyDescent="0.25">
      <c r="A51" s="131" t="s">
        <v>166</v>
      </c>
      <c r="B51" s="130"/>
      <c r="C51" s="130"/>
      <c r="D51" s="136" t="s">
        <v>167</v>
      </c>
      <c r="E51" s="130"/>
      <c r="F51" s="130"/>
      <c r="G51" s="130"/>
      <c r="H51" s="130"/>
      <c r="I51" s="130"/>
      <c r="J51" s="130"/>
      <c r="K51" s="130"/>
      <c r="L51" s="130"/>
      <c r="M51" s="130"/>
      <c r="N51" s="130"/>
      <c r="O51" s="130"/>
      <c r="P51" s="130"/>
    </row>
    <row r="52" spans="1:16" ht="6.75" customHeight="1" x14ac:dyDescent="0.25">
      <c r="A52" s="2"/>
      <c r="D52" s="15"/>
    </row>
    <row r="53" spans="1:16" x14ac:dyDescent="0.25">
      <c r="A53" t="s">
        <v>208</v>
      </c>
      <c r="C53" s="58" t="s">
        <v>198</v>
      </c>
      <c r="D53" s="61" t="s">
        <v>110</v>
      </c>
      <c r="E53" s="58" t="s">
        <v>170</v>
      </c>
      <c r="F53" s="58" t="s">
        <v>186</v>
      </c>
      <c r="G53" s="58" t="s">
        <v>44</v>
      </c>
      <c r="H53" s="279"/>
      <c r="K53" s="24" t="s">
        <v>423</v>
      </c>
      <c r="L53" s="284" t="s">
        <v>417</v>
      </c>
      <c r="M53" s="58" t="s">
        <v>422</v>
      </c>
      <c r="N53" s="58" t="s">
        <v>421</v>
      </c>
      <c r="O53" s="282">
        <f>IF(B61="1/11",(1/11),(1/12))</f>
        <v>8.3333333333333329E-2</v>
      </c>
    </row>
    <row r="54" spans="1:16" x14ac:dyDescent="0.25">
      <c r="B54" s="4" t="s">
        <v>168</v>
      </c>
      <c r="C54" s="99"/>
      <c r="D54" s="100"/>
      <c r="E54" s="62">
        <f>D54*$C$54</f>
        <v>0</v>
      </c>
      <c r="F54" s="60">
        <f>IF($B$61="1/12",C54/12,C54/11)</f>
        <v>0</v>
      </c>
      <c r="G54" s="60">
        <f>F54*D54</f>
        <v>0</v>
      </c>
      <c r="H54" s="279" t="e">
        <f>C54/E57</f>
        <v>#DIV/0!</v>
      </c>
      <c r="I54" s="16"/>
      <c r="J54" s="16"/>
      <c r="K54" s="283" t="s">
        <v>425</v>
      </c>
      <c r="L54" s="278">
        <f>A30</f>
        <v>0</v>
      </c>
      <c r="M54" s="281" t="str">
        <f>IF(G30="Yes",$C$55-((N30/$O$53)*$H$55),"")</f>
        <v/>
      </c>
      <c r="N54" s="281" t="str">
        <f>IF(G30="Yes",$C$56-(N30/$O$53)*$H$56,"")</f>
        <v/>
      </c>
      <c r="O54" s="16"/>
      <c r="P54" s="35"/>
    </row>
    <row r="55" spans="1:16" x14ac:dyDescent="0.25">
      <c r="B55" s="4" t="s">
        <v>169</v>
      </c>
      <c r="C55" s="99"/>
      <c r="D55" s="100"/>
      <c r="E55" s="62">
        <f>D55*$C$55</f>
        <v>0</v>
      </c>
      <c r="F55" s="60">
        <f>IF($B$61="1/12",C55/12,C55/11)</f>
        <v>0</v>
      </c>
      <c r="G55" s="60">
        <f t="shared" ref="G55:G56" si="3">F55*D55</f>
        <v>0</v>
      </c>
      <c r="H55" s="279" t="e">
        <f>C55/E57</f>
        <v>#DIV/0!</v>
      </c>
      <c r="I55" s="16"/>
      <c r="J55" s="16"/>
      <c r="K55" s="16"/>
      <c r="L55" s="278">
        <f>A31</f>
        <v>0</v>
      </c>
      <c r="M55" s="281" t="str">
        <f t="shared" ref="M55:M57" si="4">IF(G31="Yes",$C$55-((N31/$O$53)*$H$55),"")</f>
        <v/>
      </c>
      <c r="N55" s="281" t="str">
        <f t="shared" ref="N55:N57" si="5">IF(G31="Yes",$C$56-(N31/$O$53)*$H$56,"")</f>
        <v/>
      </c>
    </row>
    <row r="56" spans="1:16" x14ac:dyDescent="0.25">
      <c r="B56" s="4" t="s">
        <v>199</v>
      </c>
      <c r="C56" s="99"/>
      <c r="D56" s="100"/>
      <c r="E56" s="62">
        <f>D56*$C$56</f>
        <v>0</v>
      </c>
      <c r="F56" s="60">
        <f>IF($B$61="1/12",C56/12,C56/11)</f>
        <v>0</v>
      </c>
      <c r="G56" s="60">
        <f t="shared" si="3"/>
        <v>0</v>
      </c>
      <c r="H56" s="279" t="e">
        <f>C56/E57</f>
        <v>#DIV/0!</v>
      </c>
      <c r="I56" s="16"/>
      <c r="J56" s="16"/>
      <c r="K56" s="16"/>
      <c r="L56" s="278">
        <f>A32</f>
        <v>0</v>
      </c>
      <c r="M56" s="281" t="str">
        <f t="shared" si="4"/>
        <v/>
      </c>
      <c r="N56" s="281" t="str">
        <f t="shared" si="5"/>
        <v/>
      </c>
    </row>
    <row r="57" spans="1:16" x14ac:dyDescent="0.25">
      <c r="B57" s="4"/>
      <c r="C57" s="65"/>
      <c r="D57" s="66">
        <f>SUM(D54:D56)</f>
        <v>0</v>
      </c>
      <c r="E57" s="65">
        <f>SUM(E54:E56)</f>
        <v>0</v>
      </c>
      <c r="F57" s="66">
        <f>IF($B$61="1/12",E57/12,E57/11)</f>
        <v>0</v>
      </c>
      <c r="G57" s="66"/>
      <c r="H57" s="280"/>
      <c r="I57" s="16"/>
      <c r="J57" s="16"/>
      <c r="K57" s="16"/>
      <c r="L57" s="278">
        <f>A33</f>
        <v>0</v>
      </c>
      <c r="M57" s="281" t="str">
        <f t="shared" si="4"/>
        <v/>
      </c>
      <c r="N57" s="281" t="str">
        <f t="shared" si="5"/>
        <v/>
      </c>
    </row>
    <row r="58" spans="1:16" x14ac:dyDescent="0.25">
      <c r="D58" s="19" t="s">
        <v>254</v>
      </c>
      <c r="I58" s="16"/>
      <c r="J58" s="16"/>
      <c r="K58" s="16"/>
    </row>
    <row r="59" spans="1:16" x14ac:dyDescent="0.25">
      <c r="C59" s="19" t="s">
        <v>200</v>
      </c>
    </row>
    <row r="60" spans="1:16" ht="5.25" customHeight="1" x14ac:dyDescent="0.25">
      <c r="C60" s="19"/>
    </row>
    <row r="61" spans="1:16" x14ac:dyDescent="0.25">
      <c r="A61" t="s">
        <v>207</v>
      </c>
      <c r="B61" s="6" t="str">
        <f>IF(G13=TRUE,"1/11",IF(G14=TRUE,"1/12",IF(G15=TRUE,"1/12","NA")))</f>
        <v>NA</v>
      </c>
      <c r="C61" s="158" t="s">
        <v>253</v>
      </c>
      <c r="D61" s="33"/>
      <c r="J61" s="16"/>
    </row>
    <row r="62" spans="1:16" x14ac:dyDescent="0.25">
      <c r="C62" s="33"/>
      <c r="D62" s="33"/>
    </row>
    <row r="63" spans="1:16" x14ac:dyDescent="0.25">
      <c r="A63" s="137" t="s">
        <v>171</v>
      </c>
      <c r="B63" s="138"/>
      <c r="C63" s="138"/>
      <c r="D63" s="138" t="s">
        <v>172</v>
      </c>
      <c r="E63" s="138"/>
      <c r="F63" s="138"/>
      <c r="G63" s="138"/>
      <c r="H63" s="138"/>
      <c r="I63" s="138"/>
      <c r="J63" s="138"/>
      <c r="K63" s="138"/>
      <c r="L63" s="138"/>
      <c r="M63" s="138"/>
      <c r="N63" s="138"/>
      <c r="O63" s="138"/>
      <c r="P63" s="138"/>
    </row>
    <row r="65" spans="1:11" x14ac:dyDescent="0.25">
      <c r="A65" s="126" t="s">
        <v>221</v>
      </c>
      <c r="B65" s="127"/>
      <c r="C65" s="127"/>
      <c r="D65" s="127"/>
      <c r="E65" s="128"/>
    </row>
    <row r="66" spans="1:11" x14ac:dyDescent="0.25">
      <c r="A66" s="7"/>
      <c r="B66" t="s">
        <v>223</v>
      </c>
      <c r="D66" s="50">
        <f>Lookup!M2</f>
        <v>19000</v>
      </c>
      <c r="E66" s="8"/>
    </row>
    <row r="67" spans="1:11" x14ac:dyDescent="0.25">
      <c r="A67" s="9"/>
      <c r="B67" s="10" t="s">
        <v>224</v>
      </c>
      <c r="C67" s="10"/>
      <c r="D67" s="31">
        <f>SUMIF(E30:E33,"NIH",N30:N33)</f>
        <v>0</v>
      </c>
      <c r="E67" s="38" t="str">
        <f>IF(D67&gt;D66,"OVER CAP","")</f>
        <v/>
      </c>
    </row>
    <row r="69" spans="1:11" x14ac:dyDescent="0.25">
      <c r="A69" s="126" t="s">
        <v>113</v>
      </c>
      <c r="B69" s="127"/>
      <c r="C69" s="127"/>
      <c r="D69" s="127"/>
      <c r="E69" s="127"/>
      <c r="F69" s="127"/>
      <c r="G69" s="127"/>
      <c r="H69" s="127"/>
      <c r="I69" s="127"/>
      <c r="J69" s="128"/>
    </row>
    <row r="70" spans="1:11" x14ac:dyDescent="0.25">
      <c r="A70" s="7"/>
      <c r="B70" t="s">
        <v>59</v>
      </c>
      <c r="C70" s="4" t="s">
        <v>60</v>
      </c>
      <c r="D70" s="31">
        <f>SUMIF(E30:E33,"NSF",F30:F33)</f>
        <v>0</v>
      </c>
      <c r="F70" s="4" t="s">
        <v>61</v>
      </c>
      <c r="G70" s="73">
        <f>SUMIF(E30:E33,"NSF",H30:H33)</f>
        <v>0</v>
      </c>
      <c r="J70" s="8"/>
    </row>
    <row r="71" spans="1:11" x14ac:dyDescent="0.25">
      <c r="A71" s="7"/>
      <c r="J71" s="8"/>
    </row>
    <row r="72" spans="1:11" x14ac:dyDescent="0.25">
      <c r="A72" s="7"/>
      <c r="B72" t="s">
        <v>57</v>
      </c>
      <c r="J72" s="229"/>
      <c r="K72" s="98"/>
    </row>
    <row r="73" spans="1:11" x14ac:dyDescent="0.25">
      <c r="A73" s="7"/>
      <c r="J73" s="8"/>
    </row>
    <row r="74" spans="1:11" x14ac:dyDescent="0.25">
      <c r="A74" s="7"/>
      <c r="B74" t="s">
        <v>62</v>
      </c>
      <c r="G74" s="4" t="s">
        <v>102</v>
      </c>
      <c r="H74" s="231"/>
      <c r="I74" s="4" t="s">
        <v>103</v>
      </c>
      <c r="J74" s="230"/>
      <c r="K74" s="141"/>
    </row>
    <row r="75" spans="1:11" x14ac:dyDescent="0.25">
      <c r="A75" s="7"/>
      <c r="J75" s="8"/>
    </row>
    <row r="76" spans="1:11" x14ac:dyDescent="0.25">
      <c r="A76" s="7"/>
      <c r="F76" s="4" t="s">
        <v>105</v>
      </c>
      <c r="G76" s="31">
        <f>G70+H74</f>
        <v>0</v>
      </c>
      <c r="I76" s="4" t="s">
        <v>104</v>
      </c>
      <c r="J76" s="72">
        <f>J74+D70</f>
        <v>0</v>
      </c>
      <c r="K76" s="142"/>
    </row>
    <row r="77" spans="1:11" x14ac:dyDescent="0.25">
      <c r="A77" s="7"/>
      <c r="J77" s="8"/>
    </row>
    <row r="78" spans="1:11" x14ac:dyDescent="0.25">
      <c r="A78" s="7"/>
      <c r="B78" t="s">
        <v>106</v>
      </c>
      <c r="H78" s="59" t="str">
        <f>IF(OR(J76&gt;2,G76&gt;Lookup!L19+0.01),"YES, OVER CAP","No")</f>
        <v>No</v>
      </c>
      <c r="J78" s="8"/>
    </row>
    <row r="79" spans="1:11" x14ac:dyDescent="0.25">
      <c r="A79" s="9"/>
      <c r="B79" s="10" t="s">
        <v>58</v>
      </c>
      <c r="C79" s="10"/>
      <c r="D79" s="10"/>
      <c r="E79" s="10"/>
      <c r="F79" s="10"/>
      <c r="G79" s="10"/>
      <c r="H79" s="10"/>
      <c r="I79" s="10"/>
      <c r="J79" s="11"/>
    </row>
    <row r="80" spans="1:11" x14ac:dyDescent="0.25">
      <c r="A80" s="71"/>
      <c r="B80" s="71"/>
      <c r="C80" s="71"/>
      <c r="D80" s="71"/>
      <c r="E80" s="71"/>
      <c r="F80" s="71"/>
      <c r="G80" s="71"/>
      <c r="H80" s="71"/>
      <c r="I80" s="71"/>
      <c r="J80" s="71"/>
    </row>
    <row r="81" spans="1:16" x14ac:dyDescent="0.25">
      <c r="A81" s="126" t="s">
        <v>239</v>
      </c>
      <c r="B81" s="127"/>
      <c r="C81" s="127"/>
      <c r="D81" s="127"/>
      <c r="E81" s="128"/>
    </row>
    <row r="82" spans="1:16" x14ac:dyDescent="0.25">
      <c r="A82" s="7"/>
      <c r="B82" t="s">
        <v>241</v>
      </c>
      <c r="D82" s="50">
        <f>Lookup!M23</f>
        <v>16433.333333333332</v>
      </c>
      <c r="E82" s="8"/>
    </row>
    <row r="83" spans="1:16" x14ac:dyDescent="0.25">
      <c r="A83" s="9"/>
      <c r="B83" s="10" t="s">
        <v>242</v>
      </c>
      <c r="C83" s="10"/>
      <c r="D83" s="31">
        <f>SUMIF(E30:E33,"NIFA",N30:N33)</f>
        <v>0</v>
      </c>
      <c r="E83" s="38" t="str">
        <f>IF(D83&gt;D82,"OVER CAP","")</f>
        <v/>
      </c>
    </row>
    <row r="85" spans="1:16" x14ac:dyDescent="0.25">
      <c r="A85" s="137" t="s">
        <v>248</v>
      </c>
      <c r="B85" s="138" t="s">
        <v>260</v>
      </c>
      <c r="C85" s="138"/>
      <c r="D85" s="138"/>
      <c r="E85" s="138"/>
      <c r="F85" s="138"/>
      <c r="G85" s="138"/>
      <c r="H85" s="138"/>
      <c r="I85" s="138"/>
      <c r="J85" s="138"/>
      <c r="K85" s="138"/>
      <c r="L85" s="138"/>
      <c r="M85" s="138"/>
      <c r="N85" s="138"/>
      <c r="O85" s="138"/>
      <c r="P85" s="138"/>
    </row>
    <row r="86" spans="1:16" ht="9" customHeight="1" x14ac:dyDescent="0.25"/>
    <row r="87" spans="1:16" ht="49.5" customHeight="1" x14ac:dyDescent="0.25">
      <c r="A87" s="133" t="s">
        <v>246</v>
      </c>
      <c r="B87" s="356"/>
      <c r="C87" s="357"/>
      <c r="D87" s="357"/>
      <c r="E87" s="357"/>
      <c r="F87" s="357"/>
      <c r="G87" s="357"/>
      <c r="H87" s="357"/>
      <c r="I87" s="357"/>
      <c r="J87" s="357"/>
      <c r="K87" s="357"/>
      <c r="L87" s="357"/>
      <c r="M87" s="357"/>
      <c r="N87" s="357"/>
      <c r="O87" s="357"/>
      <c r="P87" s="358"/>
    </row>
    <row r="88" spans="1:16" ht="7.5" customHeight="1" x14ac:dyDescent="0.25"/>
    <row r="89" spans="1:16" ht="30" customHeight="1" x14ac:dyDescent="0.25">
      <c r="B89" s="4" t="s">
        <v>64</v>
      </c>
      <c r="C89" s="380"/>
      <c r="D89" s="380"/>
      <c r="E89" s="380"/>
      <c r="F89" s="380"/>
      <c r="G89" s="380"/>
      <c r="I89" s="381"/>
      <c r="J89" s="381"/>
    </row>
    <row r="90" spans="1:16" x14ac:dyDescent="0.25">
      <c r="D90" s="26" t="s">
        <v>261</v>
      </c>
      <c r="J90" s="26" t="s">
        <v>65</v>
      </c>
    </row>
    <row r="91" spans="1:16" x14ac:dyDescent="0.25">
      <c r="A91" s="137" t="s">
        <v>366</v>
      </c>
      <c r="B91" s="138" t="s">
        <v>367</v>
      </c>
      <c r="C91" s="138"/>
      <c r="D91" s="138"/>
      <c r="E91" s="138"/>
      <c r="F91" s="138"/>
      <c r="G91" s="138"/>
      <c r="H91" s="138"/>
      <c r="I91" s="138"/>
      <c r="J91" s="138"/>
      <c r="K91" s="138"/>
      <c r="L91" s="138"/>
      <c r="M91" s="138"/>
      <c r="N91" s="138"/>
      <c r="O91" s="138"/>
      <c r="P91" s="138"/>
    </row>
    <row r="92" spans="1:16" ht="9" customHeight="1" x14ac:dyDescent="0.25">
      <c r="D92" s="26"/>
      <c r="J92" s="26"/>
    </row>
    <row r="93" spans="1:16" ht="47.25" customHeight="1" x14ac:dyDescent="0.25">
      <c r="A93" s="133" t="s">
        <v>246</v>
      </c>
      <c r="B93" s="356"/>
      <c r="C93" s="357"/>
      <c r="D93" s="357"/>
      <c r="E93" s="357"/>
      <c r="F93" s="357"/>
      <c r="G93" s="357"/>
      <c r="H93" s="357"/>
      <c r="I93" s="357"/>
      <c r="J93" s="357"/>
      <c r="K93" s="357"/>
      <c r="L93" s="357"/>
      <c r="M93" s="357"/>
      <c r="N93" s="357"/>
      <c r="O93" s="357"/>
      <c r="P93" s="358"/>
    </row>
    <row r="94" spans="1:16" ht="6.75" customHeight="1" x14ac:dyDescent="0.25">
      <c r="D94" s="26"/>
      <c r="J94" s="26"/>
    </row>
    <row r="95" spans="1:16" ht="22.5" customHeight="1" x14ac:dyDescent="0.25">
      <c r="B95" s="4" t="s">
        <v>394</v>
      </c>
      <c r="C95" s="380"/>
      <c r="D95" s="380"/>
      <c r="E95" s="380"/>
      <c r="F95" s="380"/>
      <c r="G95" s="380"/>
      <c r="I95" s="381"/>
      <c r="J95" s="381"/>
    </row>
    <row r="96" spans="1:16" x14ac:dyDescent="0.25">
      <c r="D96" s="26" t="s">
        <v>395</v>
      </c>
      <c r="J96" s="26" t="s">
        <v>65</v>
      </c>
    </row>
    <row r="97" spans="1:16" x14ac:dyDescent="0.25">
      <c r="A97" s="361" t="s">
        <v>66</v>
      </c>
      <c r="B97" s="361"/>
      <c r="C97" s="361"/>
      <c r="D97" s="361"/>
      <c r="E97" s="361"/>
      <c r="F97" s="361"/>
      <c r="G97" s="361"/>
      <c r="H97" s="361"/>
      <c r="I97" s="361"/>
      <c r="J97" s="361"/>
      <c r="K97" s="361"/>
      <c r="L97" s="361"/>
      <c r="M97" s="361"/>
      <c r="N97" s="361"/>
      <c r="O97" s="361"/>
      <c r="P97" s="361"/>
    </row>
    <row r="98" spans="1:16" x14ac:dyDescent="0.25">
      <c r="A98" t="s">
        <v>67</v>
      </c>
      <c r="B98" s="6">
        <f>G8</f>
        <v>0</v>
      </c>
      <c r="C98" t="s">
        <v>216</v>
      </c>
      <c r="D98" s="6" t="e">
        <f>VLOOKUP(M6,Lookup!$E$2:$G$26,3,0)</f>
        <v>#N/A</v>
      </c>
      <c r="E98" t="s">
        <v>69</v>
      </c>
      <c r="F98" s="83" t="s">
        <v>96</v>
      </c>
      <c r="H98" s="4" t="s">
        <v>215</v>
      </c>
      <c r="I98" s="362"/>
      <c r="J98" s="362"/>
      <c r="K98" s="139" t="s">
        <v>292</v>
      </c>
      <c r="L98" s="166">
        <f>VLOOKUP(F98,Lookup!$H$2:$I$26,2,0)</f>
        <v>500420</v>
      </c>
    </row>
    <row r="99" spans="1:16" ht="8.25" customHeight="1" x14ac:dyDescent="0.25"/>
    <row r="100" spans="1:16" x14ac:dyDescent="0.25">
      <c r="B100" s="4" t="s">
        <v>97</v>
      </c>
      <c r="C100" s="363"/>
      <c r="D100" s="363"/>
      <c r="E100" s="363"/>
      <c r="F100" s="363"/>
      <c r="G100" s="4" t="s">
        <v>65</v>
      </c>
      <c r="H100" s="364"/>
      <c r="I100" s="364"/>
      <c r="J100" s="364"/>
      <c r="K100" s="140"/>
    </row>
    <row r="101" spans="1:16" ht="8.25" customHeight="1" x14ac:dyDescent="0.25"/>
    <row r="102" spans="1:16" x14ac:dyDescent="0.25">
      <c r="B102" s="4" t="s">
        <v>98</v>
      </c>
      <c r="C102" s="363"/>
      <c r="D102" s="363"/>
      <c r="E102" s="363"/>
      <c r="F102" s="363"/>
      <c r="G102" s="4" t="s">
        <v>65</v>
      </c>
      <c r="H102" s="364"/>
      <c r="I102" s="364"/>
      <c r="J102" s="364"/>
      <c r="K102" s="140"/>
    </row>
    <row r="103" spans="1:16" ht="4.5" customHeight="1" x14ac:dyDescent="0.25">
      <c r="B103" s="4"/>
      <c r="C103" s="157"/>
      <c r="D103" s="157"/>
      <c r="E103" s="157"/>
      <c r="F103" s="157"/>
      <c r="G103" s="4"/>
      <c r="H103" s="140"/>
      <c r="I103" s="140"/>
      <c r="J103" s="140"/>
      <c r="K103" s="140"/>
    </row>
    <row r="104" spans="1:16" x14ac:dyDescent="0.25">
      <c r="B104" s="4"/>
      <c r="C104" s="157" t="s">
        <v>288</v>
      </c>
      <c r="D104" s="157"/>
      <c r="E104" s="157"/>
      <c r="G104" s="160">
        <f>H27</f>
        <v>0</v>
      </c>
      <c r="I104" s="159" t="s">
        <v>287</v>
      </c>
      <c r="J104" s="161"/>
      <c r="K104" s="140" t="s">
        <v>286</v>
      </c>
      <c r="L104" s="364"/>
      <c r="M104" s="364"/>
    </row>
    <row r="105" spans="1:16" ht="14.25" customHeight="1" x14ac:dyDescent="0.25"/>
    <row r="106" spans="1:16" ht="14.25" customHeight="1" x14ac:dyDescent="0.25">
      <c r="A106" s="2" t="s">
        <v>99</v>
      </c>
      <c r="B106" s="28" t="s">
        <v>100</v>
      </c>
      <c r="C106" s="371" t="s">
        <v>101</v>
      </c>
      <c r="D106" s="371"/>
      <c r="E106" s="371"/>
      <c r="F106" s="371"/>
      <c r="G106" s="371"/>
      <c r="H106" s="371"/>
      <c r="I106" s="371"/>
      <c r="J106" s="371"/>
      <c r="K106" s="371"/>
      <c r="L106" s="371"/>
      <c r="M106" s="371"/>
      <c r="N106" s="371"/>
      <c r="O106" s="371"/>
      <c r="P106" s="371"/>
    </row>
    <row r="107" spans="1:16" ht="18.75" customHeight="1" x14ac:dyDescent="0.25">
      <c r="B107" s="144"/>
      <c r="C107" s="367"/>
      <c r="D107" s="367"/>
      <c r="E107" s="367"/>
      <c r="F107" s="367"/>
      <c r="G107" s="367"/>
      <c r="H107" s="367"/>
      <c r="I107" s="367"/>
      <c r="J107" s="367"/>
      <c r="K107" s="367"/>
      <c r="L107" s="367"/>
      <c r="M107" s="367"/>
      <c r="N107" s="367"/>
      <c r="O107" s="367"/>
      <c r="P107" s="367"/>
    </row>
    <row r="108" spans="1:16" ht="18.75" customHeight="1" x14ac:dyDescent="0.25">
      <c r="B108" s="144"/>
      <c r="C108" s="367"/>
      <c r="D108" s="367"/>
      <c r="E108" s="367"/>
      <c r="F108" s="367"/>
      <c r="G108" s="367"/>
      <c r="H108" s="367"/>
      <c r="I108" s="367"/>
      <c r="J108" s="367"/>
      <c r="K108" s="367"/>
      <c r="L108" s="367"/>
      <c r="M108" s="367"/>
      <c r="N108" s="367"/>
      <c r="O108" s="367"/>
      <c r="P108" s="367"/>
    </row>
    <row r="109" spans="1:16" ht="18.75" customHeight="1" x14ac:dyDescent="0.25">
      <c r="B109" s="144"/>
      <c r="C109" s="367"/>
      <c r="D109" s="367"/>
      <c r="E109" s="367"/>
      <c r="F109" s="367"/>
      <c r="G109" s="367"/>
      <c r="H109" s="367"/>
      <c r="I109" s="367"/>
      <c r="J109" s="367"/>
      <c r="K109" s="367"/>
      <c r="L109" s="367"/>
      <c r="M109" s="367"/>
      <c r="N109" s="367"/>
      <c r="O109" s="367"/>
      <c r="P109" s="367"/>
    </row>
    <row r="110" spans="1:16" ht="18.75" customHeight="1" x14ac:dyDescent="0.25">
      <c r="B110" s="144"/>
      <c r="C110" s="367"/>
      <c r="D110" s="367"/>
      <c r="E110" s="367"/>
      <c r="F110" s="367"/>
      <c r="G110" s="367"/>
      <c r="H110" s="367"/>
      <c r="I110" s="367"/>
      <c r="J110" s="367"/>
      <c r="K110" s="367"/>
      <c r="L110" s="367"/>
      <c r="M110" s="367"/>
      <c r="N110" s="367"/>
      <c r="O110" s="367"/>
      <c r="P110" s="367"/>
    </row>
    <row r="111" spans="1:16" ht="18.75" customHeight="1" x14ac:dyDescent="0.25">
      <c r="B111" s="144"/>
      <c r="C111" s="367"/>
      <c r="D111" s="367"/>
      <c r="E111" s="367"/>
      <c r="F111" s="367"/>
      <c r="G111" s="367"/>
      <c r="H111" s="367"/>
      <c r="I111" s="367"/>
      <c r="J111" s="367"/>
      <c r="K111" s="367"/>
      <c r="L111" s="367"/>
      <c r="M111" s="367"/>
      <c r="N111" s="367"/>
      <c r="O111" s="367"/>
      <c r="P111" s="367"/>
    </row>
    <row r="112" spans="1:16" ht="18.75" customHeight="1" x14ac:dyDescent="0.25">
      <c r="B112" s="144"/>
      <c r="C112" s="367"/>
      <c r="D112" s="367"/>
      <c r="E112" s="367"/>
      <c r="F112" s="367"/>
      <c r="G112" s="367"/>
      <c r="H112" s="367"/>
      <c r="I112" s="367"/>
      <c r="J112" s="367"/>
      <c r="K112" s="367"/>
      <c r="L112" s="367"/>
      <c r="M112" s="367"/>
      <c r="N112" s="367"/>
      <c r="O112" s="367"/>
      <c r="P112" s="367"/>
    </row>
  </sheetData>
  <sheetProtection algorithmName="SHA-512" hashValue="vObGxGuiybtbG0u/briyO/cE7kuas/4jW+v+mkaNXEXpXLdrnvldt35jXvZHPdN2BIohGAyfNH3jVOrQd+xvLw==" saltValue="WWaTz/Avbd63UZ7tYYBM7A==" spinCount="100000" sheet="1" objects="1" scenarios="1"/>
  <mergeCells count="38">
    <mergeCell ref="A4:P4"/>
    <mergeCell ref="L104:M104"/>
    <mergeCell ref="B93:P93"/>
    <mergeCell ref="A97:P97"/>
    <mergeCell ref="A1:P1"/>
    <mergeCell ref="A2:P2"/>
    <mergeCell ref="A3:P3"/>
    <mergeCell ref="B29:D29"/>
    <mergeCell ref="C89:G89"/>
    <mergeCell ref="D42:G42"/>
    <mergeCell ref="B30:D30"/>
    <mergeCell ref="B31:D31"/>
    <mergeCell ref="B32:D32"/>
    <mergeCell ref="B33:D33"/>
    <mergeCell ref="I89:J89"/>
    <mergeCell ref="A47:J47"/>
    <mergeCell ref="B40:P40"/>
    <mergeCell ref="B87:P87"/>
    <mergeCell ref="M6:N6"/>
    <mergeCell ref="G6:J6"/>
    <mergeCell ref="B6:D6"/>
    <mergeCell ref="B20:P20"/>
    <mergeCell ref="A11:P11"/>
    <mergeCell ref="A10:P10"/>
    <mergeCell ref="C112:P112"/>
    <mergeCell ref="C111:P111"/>
    <mergeCell ref="C110:P110"/>
    <mergeCell ref="C109:P109"/>
    <mergeCell ref="C108:P108"/>
    <mergeCell ref="C107:P107"/>
    <mergeCell ref="C106:P106"/>
    <mergeCell ref="C95:G95"/>
    <mergeCell ref="I95:J95"/>
    <mergeCell ref="I98:J98"/>
    <mergeCell ref="C100:F100"/>
    <mergeCell ref="H100:J100"/>
    <mergeCell ref="C102:F102"/>
    <mergeCell ref="H102:J102"/>
  </mergeCells>
  <pageMargins left="0.5" right="0.5" top="0.75" bottom="0.5" header="0.5" footer="0.5"/>
  <pageSetup scale="4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locked="0" defaultSize="0" autoFill="0" autoLine="0" autoPict="0">
                <anchor moveWithCells="1">
                  <from>
                    <xdr:col>5</xdr:col>
                    <xdr:colOff>419100</xdr:colOff>
                    <xdr:row>35</xdr:row>
                    <xdr:rowOff>200025</xdr:rowOff>
                  </from>
                  <to>
                    <xdr:col>5</xdr:col>
                    <xdr:colOff>762000</xdr:colOff>
                    <xdr:row>37</xdr:row>
                    <xdr:rowOff>28575</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6</xdr:col>
                    <xdr:colOff>495300</xdr:colOff>
                    <xdr:row>36</xdr:row>
                    <xdr:rowOff>0</xdr:rowOff>
                  </from>
                  <to>
                    <xdr:col>6</xdr:col>
                    <xdr:colOff>771525</xdr:colOff>
                    <xdr:row>37</xdr:row>
                    <xdr:rowOff>19050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7</xdr:col>
                    <xdr:colOff>523875</xdr:colOff>
                    <xdr:row>35</xdr:row>
                    <xdr:rowOff>200025</xdr:rowOff>
                  </from>
                  <to>
                    <xdr:col>7</xdr:col>
                    <xdr:colOff>828675</xdr:colOff>
                    <xdr:row>37</xdr:row>
                    <xdr:rowOff>9525</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1</xdr:col>
                    <xdr:colOff>628650</xdr:colOff>
                    <xdr:row>11</xdr:row>
                    <xdr:rowOff>180975</xdr:rowOff>
                  </from>
                  <to>
                    <xdr:col>1</xdr:col>
                    <xdr:colOff>952500</xdr:colOff>
                    <xdr:row>13</xdr:row>
                    <xdr:rowOff>28575</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1</xdr:col>
                    <xdr:colOff>619125</xdr:colOff>
                    <xdr:row>13</xdr:row>
                    <xdr:rowOff>9525</xdr:rowOff>
                  </from>
                  <to>
                    <xdr:col>1</xdr:col>
                    <xdr:colOff>895350</xdr:colOff>
                    <xdr:row>14</xdr:row>
                    <xdr:rowOff>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1</xdr:col>
                    <xdr:colOff>619125</xdr:colOff>
                    <xdr:row>13</xdr:row>
                    <xdr:rowOff>190500</xdr:rowOff>
                  </from>
                  <to>
                    <xdr:col>1</xdr:col>
                    <xdr:colOff>847725</xdr:colOff>
                    <xdr:row>14</xdr:row>
                    <xdr:rowOff>180975</xdr:rowOff>
                  </to>
                </anchor>
              </controlPr>
            </control>
          </mc:Choice>
        </mc:AlternateContent>
        <mc:AlternateContent xmlns:mc="http://schemas.openxmlformats.org/markup-compatibility/2006">
          <mc:Choice Requires="x14">
            <control shapeId="4107" r:id="rId10" name="Check Box 11">
              <controlPr locked="0" defaultSize="0" autoFill="0" autoLine="0" autoPict="0">
                <anchor moveWithCells="1">
                  <from>
                    <xdr:col>1</xdr:col>
                    <xdr:colOff>695325</xdr:colOff>
                    <xdr:row>102</xdr:row>
                    <xdr:rowOff>47625</xdr:rowOff>
                  </from>
                  <to>
                    <xdr:col>2</xdr:col>
                    <xdr:colOff>85725</xdr:colOff>
                    <xdr:row>104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0000000}">
          <x14:formula1>
            <xm:f>Lookup!$A$1:$A$2</xm:f>
          </x14:formula1>
          <xm:sqref>I98:J98 J72 F38 E36:E37 G30:G33</xm:sqref>
        </x14:dataValidation>
        <x14:dataValidation type="list" allowBlank="1" showInputMessage="1" showErrorMessage="1" xr:uid="{00000000-0002-0000-0500-000001000000}">
          <x14:formula1>
            <xm:f>Lookup!$A$21:$A$25</xm:f>
          </x14:formula1>
          <xm:sqref>F98</xm:sqref>
        </x14:dataValidation>
        <x14:dataValidation type="list" allowBlank="1" showInputMessage="1" showErrorMessage="1" xr:uid="{00000000-0002-0000-0500-000002000000}">
          <x14:formula1>
            <xm:f>Lookup!$C$1:$C$7</xm:f>
          </x14:formula1>
          <xm:sqref>E30:E33</xm:sqref>
        </x14:dataValidation>
        <x14:dataValidation type="list" allowBlank="1" showInputMessage="1" showErrorMessage="1" xr:uid="{00000000-0002-0000-0500-000003000000}">
          <x14:formula1>
            <xm:f>Lookup!$A$32:$A$33</xm:f>
          </x14:formula1>
          <xm:sqref>C8</xm:sqref>
        </x14:dataValidation>
        <x14:dataValidation type="list" allowBlank="1" showInputMessage="1" showErrorMessage="1" xr:uid="{00000000-0002-0000-0500-000004000000}">
          <x14:formula1>
            <xm:f>Lookup!$C$30:$C$44</xm:f>
          </x14:formula1>
          <xm:sqref>G6:J6</xm:sqref>
        </x14:dataValidation>
        <x14:dataValidation type="list" allowBlank="1" showInputMessage="1" showErrorMessage="1" xr:uid="{00000000-0002-0000-0500-000005000000}">
          <x14:formula1>
            <xm:f>Lookup!$E$49:$E$72</xm:f>
          </x14:formula1>
          <xm:sqref>A30:A33</xm:sqref>
        </x14:dataValidation>
        <x14:dataValidation type="list" allowBlank="1" showInputMessage="1" showErrorMessage="1" xr:uid="{00000000-0002-0000-0500-000006000000}">
          <x14:formula1>
            <xm:f>Lookup!$E$18:$E$26</xm:f>
          </x14:formula1>
          <xm:sqref>M6:N6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2"/>
  <sheetViews>
    <sheetView workbookViewId="0">
      <selection activeCell="P15" sqref="P15"/>
    </sheetView>
  </sheetViews>
  <sheetFormatPr defaultRowHeight="15" x14ac:dyDescent="0.25"/>
  <sheetData>
    <row r="1" spans="1:1" x14ac:dyDescent="0.25">
      <c r="A1" s="2" t="s">
        <v>289</v>
      </c>
    </row>
    <row r="2" spans="1:1" x14ac:dyDescent="0.25">
      <c r="A2" t="s">
        <v>301</v>
      </c>
    </row>
  </sheetData>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50"/>
  <sheetViews>
    <sheetView zoomScale="90" zoomScaleNormal="90" workbookViewId="0">
      <selection activeCell="H54" sqref="H54"/>
    </sheetView>
  </sheetViews>
  <sheetFormatPr defaultRowHeight="15" x14ac:dyDescent="0.25"/>
  <cols>
    <col min="1" max="1" width="4.85546875" customWidth="1"/>
  </cols>
  <sheetData>
    <row r="1" spans="1:16" x14ac:dyDescent="0.25">
      <c r="A1" s="329" t="s">
        <v>256</v>
      </c>
      <c r="B1" s="330"/>
      <c r="C1" s="330"/>
      <c r="D1" s="330"/>
      <c r="E1" s="330"/>
      <c r="F1" s="330"/>
      <c r="G1" s="330"/>
      <c r="H1" s="330"/>
      <c r="I1" s="330"/>
      <c r="J1" s="330"/>
      <c r="K1" s="330"/>
      <c r="L1" s="330"/>
      <c r="M1" s="330"/>
      <c r="N1" s="330"/>
      <c r="O1" s="330"/>
      <c r="P1" s="330"/>
    </row>
    <row r="2" spans="1:16" x14ac:dyDescent="0.25">
      <c r="B2" t="s">
        <v>257</v>
      </c>
    </row>
    <row r="3" spans="1:16" x14ac:dyDescent="0.25">
      <c r="C3" t="s">
        <v>414</v>
      </c>
    </row>
    <row r="4" spans="1:16" x14ac:dyDescent="0.25">
      <c r="B4" t="s">
        <v>258</v>
      </c>
    </row>
    <row r="19" spans="1:16" x14ac:dyDescent="0.25">
      <c r="B19" t="s">
        <v>415</v>
      </c>
    </row>
    <row r="21" spans="1:16" x14ac:dyDescent="0.25">
      <c r="A21" s="329" t="s">
        <v>187</v>
      </c>
      <c r="B21" s="330"/>
      <c r="C21" s="330"/>
      <c r="D21" s="330"/>
      <c r="E21" s="330"/>
      <c r="F21" s="330"/>
      <c r="G21" s="330"/>
      <c r="H21" s="330"/>
      <c r="I21" s="330"/>
      <c r="J21" s="330"/>
      <c r="K21" s="330"/>
      <c r="L21" s="330"/>
      <c r="M21" s="330"/>
      <c r="N21" s="330"/>
      <c r="O21" s="330"/>
      <c r="P21" s="330"/>
    </row>
    <row r="22" spans="1:16" x14ac:dyDescent="0.25">
      <c r="B22" t="s">
        <v>259</v>
      </c>
    </row>
    <row r="23" spans="1:16" ht="7.5" customHeight="1" x14ac:dyDescent="0.25"/>
    <row r="24" spans="1:16" x14ac:dyDescent="0.25">
      <c r="B24" t="s">
        <v>364</v>
      </c>
    </row>
    <row r="25" spans="1:16" x14ac:dyDescent="0.25">
      <c r="C25" t="s">
        <v>365</v>
      </c>
    </row>
    <row r="26" spans="1:16" x14ac:dyDescent="0.25">
      <c r="A26" s="2"/>
    </row>
    <row r="41" spans="1:16" x14ac:dyDescent="0.25">
      <c r="A41" s="329" t="s">
        <v>429</v>
      </c>
      <c r="B41" s="330"/>
      <c r="C41" s="330"/>
      <c r="D41" s="330"/>
      <c r="E41" s="330"/>
      <c r="F41" s="330"/>
      <c r="G41" s="330"/>
      <c r="H41" s="330"/>
      <c r="I41" s="330"/>
      <c r="J41" s="330"/>
      <c r="K41" s="330"/>
      <c r="L41" s="330"/>
      <c r="M41" s="330"/>
      <c r="N41" s="330"/>
      <c r="O41" s="330"/>
      <c r="P41" s="330"/>
    </row>
    <row r="42" spans="1:16" x14ac:dyDescent="0.25">
      <c r="B42" t="s">
        <v>453</v>
      </c>
    </row>
    <row r="43" spans="1:16" x14ac:dyDescent="0.25">
      <c r="B43" t="s">
        <v>454</v>
      </c>
    </row>
    <row r="44" spans="1:16" x14ac:dyDescent="0.25">
      <c r="B44" t="s">
        <v>455</v>
      </c>
    </row>
    <row r="47" spans="1:16" x14ac:dyDescent="0.25">
      <c r="A47" s="329" t="s">
        <v>456</v>
      </c>
      <c r="B47" s="329"/>
      <c r="C47" s="329"/>
      <c r="D47" s="329"/>
      <c r="E47" s="329"/>
      <c r="F47" s="329"/>
      <c r="G47" s="329"/>
      <c r="H47" s="329"/>
      <c r="I47" s="329"/>
      <c r="J47" s="329"/>
      <c r="K47" s="329"/>
      <c r="L47" s="329"/>
      <c r="M47" s="329"/>
      <c r="N47" s="329"/>
      <c r="O47" s="329"/>
      <c r="P47" s="329"/>
    </row>
    <row r="48" spans="1:16" x14ac:dyDescent="0.25">
      <c r="B48" t="s">
        <v>458</v>
      </c>
    </row>
    <row r="49" spans="2:2" x14ac:dyDescent="0.25">
      <c r="B49" t="s">
        <v>457</v>
      </c>
    </row>
    <row r="50" spans="2:2" x14ac:dyDescent="0.25">
      <c r="B50" s="343" t="s">
        <v>513</v>
      </c>
    </row>
  </sheetData>
  <sheetProtection algorithmName="SHA-512" hashValue="JlzTIV1hxUI1Y2SA/zj4z2Lk7PDSVGZ7OGGcigy2V6MAOkJIozgaCkGtkWcos9/U5veePf5VIJn51PJoH5ViOQ==" saltValue="k8MQ3VoVAovlT4YdyQd1sA==" spinCount="100000" sheet="1" objects="1" scenarios="1"/>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S88"/>
  <sheetViews>
    <sheetView zoomScale="90" zoomScaleNormal="90" workbookViewId="0">
      <selection activeCell="R8" sqref="R8"/>
    </sheetView>
  </sheetViews>
  <sheetFormatPr defaultRowHeight="15" x14ac:dyDescent="0.25"/>
  <cols>
    <col min="1" max="1" width="11.42578125" customWidth="1"/>
    <col min="2" max="2" width="1.85546875" customWidth="1"/>
    <col min="3" max="3" width="31.28515625" customWidth="1"/>
    <col min="4" max="4" width="3.85546875" customWidth="1"/>
    <col min="5" max="5" width="28.7109375" customWidth="1"/>
    <col min="6" max="6" width="9.7109375" customWidth="1"/>
    <col min="7" max="7" width="12.85546875" customWidth="1"/>
    <col min="9" max="9" width="8.42578125" customWidth="1"/>
    <col min="10" max="10" width="2.7109375" customWidth="1"/>
    <col min="12" max="12" width="18" customWidth="1"/>
    <col min="13" max="13" width="12.140625" customWidth="1"/>
    <col min="14" max="14" width="13" customWidth="1"/>
    <col min="15" max="15" width="12.85546875" customWidth="1"/>
    <col min="16" max="16" width="9.5703125" bestFit="1" customWidth="1"/>
    <col min="17" max="17" width="10.5703125" customWidth="1"/>
    <col min="18" max="18" width="14.28515625" customWidth="1"/>
    <col min="19" max="19" width="19.7109375" customWidth="1"/>
  </cols>
  <sheetData>
    <row r="1" spans="1:19" x14ac:dyDescent="0.25">
      <c r="A1" t="s">
        <v>20</v>
      </c>
      <c r="C1" t="s">
        <v>22</v>
      </c>
      <c r="E1" s="178" t="s">
        <v>474</v>
      </c>
      <c r="K1" t="s">
        <v>45</v>
      </c>
      <c r="L1" t="s">
        <v>46</v>
      </c>
      <c r="M1" t="s">
        <v>218</v>
      </c>
      <c r="N1" t="s">
        <v>219</v>
      </c>
      <c r="Q1" s="102" t="s">
        <v>227</v>
      </c>
      <c r="R1" s="102" t="s">
        <v>226</v>
      </c>
    </row>
    <row r="2" spans="1:19" x14ac:dyDescent="0.25">
      <c r="A2" t="s">
        <v>21</v>
      </c>
      <c r="C2" t="s">
        <v>23</v>
      </c>
      <c r="E2" t="s">
        <v>28</v>
      </c>
      <c r="F2" s="25" t="s">
        <v>75</v>
      </c>
      <c r="G2" s="25" t="s">
        <v>84</v>
      </c>
      <c r="H2" t="s">
        <v>71</v>
      </c>
      <c r="I2">
        <v>500420</v>
      </c>
      <c r="K2">
        <v>2026</v>
      </c>
      <c r="L2" s="16">
        <v>228000</v>
      </c>
      <c r="M2" s="16">
        <f t="shared" ref="M2:M12" si="0">L2/12</f>
        <v>19000</v>
      </c>
      <c r="N2" s="35">
        <f t="shared" ref="N2:N12" si="1">M2*3</f>
        <v>57000</v>
      </c>
      <c r="Q2" s="102"/>
    </row>
    <row r="3" spans="1:19" x14ac:dyDescent="0.25">
      <c r="C3" t="s">
        <v>233</v>
      </c>
      <c r="E3" t="s">
        <v>30</v>
      </c>
      <c r="F3" s="25" t="s">
        <v>76</v>
      </c>
      <c r="G3" s="25" t="s">
        <v>86</v>
      </c>
      <c r="H3" t="s">
        <v>71</v>
      </c>
      <c r="I3">
        <v>500420</v>
      </c>
      <c r="K3">
        <v>2025</v>
      </c>
      <c r="L3" s="16">
        <v>225700</v>
      </c>
      <c r="M3" s="16">
        <f t="shared" si="0"/>
        <v>18808.333333333332</v>
      </c>
      <c r="N3" s="35">
        <f t="shared" si="1"/>
        <v>56425</v>
      </c>
      <c r="Q3" t="s">
        <v>469</v>
      </c>
      <c r="R3" t="s">
        <v>468</v>
      </c>
      <c r="S3" t="s">
        <v>470</v>
      </c>
    </row>
    <row r="4" spans="1:19" x14ac:dyDescent="0.25">
      <c r="C4" t="s">
        <v>24</v>
      </c>
      <c r="E4" t="s">
        <v>32</v>
      </c>
      <c r="F4" s="25" t="s">
        <v>79</v>
      </c>
      <c r="G4" s="25" t="s">
        <v>88</v>
      </c>
      <c r="H4" t="s">
        <v>71</v>
      </c>
      <c r="I4">
        <v>500420</v>
      </c>
      <c r="K4">
        <v>2024</v>
      </c>
      <c r="L4" s="16">
        <v>221900</v>
      </c>
      <c r="M4" s="16">
        <f t="shared" si="0"/>
        <v>18491.666666666668</v>
      </c>
      <c r="N4" s="35">
        <f t="shared" si="1"/>
        <v>55475</v>
      </c>
      <c r="P4" s="35"/>
      <c r="Q4" t="s">
        <v>37</v>
      </c>
      <c r="R4">
        <v>0.63160000000000005</v>
      </c>
      <c r="S4">
        <v>11</v>
      </c>
    </row>
    <row r="5" spans="1:19" x14ac:dyDescent="0.25">
      <c r="A5" t="s">
        <v>37</v>
      </c>
      <c r="C5" t="s">
        <v>25</v>
      </c>
      <c r="E5" t="s">
        <v>373</v>
      </c>
      <c r="F5" s="25" t="s">
        <v>82</v>
      </c>
      <c r="G5" s="25" t="s">
        <v>90</v>
      </c>
      <c r="H5" t="s">
        <v>71</v>
      </c>
      <c r="I5">
        <v>500420</v>
      </c>
      <c r="K5">
        <v>2023</v>
      </c>
      <c r="L5" s="16">
        <v>212100</v>
      </c>
      <c r="M5" s="16">
        <f t="shared" si="0"/>
        <v>17675</v>
      </c>
      <c r="N5" s="35">
        <f t="shared" si="1"/>
        <v>53025</v>
      </c>
      <c r="Q5" t="s">
        <v>38</v>
      </c>
      <c r="R5">
        <v>1.2104999999999999</v>
      </c>
      <c r="S5">
        <v>23</v>
      </c>
    </row>
    <row r="6" spans="1:19" x14ac:dyDescent="0.25">
      <c r="A6" t="s">
        <v>38</v>
      </c>
      <c r="C6" t="s">
        <v>26</v>
      </c>
      <c r="E6" t="s">
        <v>463</v>
      </c>
      <c r="F6" s="25" t="s">
        <v>81</v>
      </c>
      <c r="G6" s="25" t="s">
        <v>91</v>
      </c>
      <c r="H6" t="s">
        <v>71</v>
      </c>
      <c r="I6">
        <v>500420</v>
      </c>
      <c r="K6">
        <v>2022</v>
      </c>
      <c r="L6" s="16">
        <v>203700</v>
      </c>
      <c r="M6" s="16">
        <f t="shared" si="0"/>
        <v>16975</v>
      </c>
      <c r="N6" s="35">
        <f t="shared" si="1"/>
        <v>50925</v>
      </c>
      <c r="Q6" t="s">
        <v>39</v>
      </c>
      <c r="R6">
        <v>1.1052999999999999</v>
      </c>
      <c r="S6">
        <v>21</v>
      </c>
    </row>
    <row r="7" spans="1:19" x14ac:dyDescent="0.25">
      <c r="A7" t="s">
        <v>39</v>
      </c>
      <c r="C7" t="s">
        <v>27</v>
      </c>
      <c r="E7" t="s">
        <v>464</v>
      </c>
      <c r="F7" s="25" t="s">
        <v>83</v>
      </c>
      <c r="G7" s="25" t="s">
        <v>92</v>
      </c>
      <c r="H7" t="s">
        <v>71</v>
      </c>
      <c r="I7">
        <v>500420</v>
      </c>
      <c r="K7">
        <v>2021</v>
      </c>
      <c r="L7" s="16">
        <v>199300</v>
      </c>
      <c r="M7" s="16">
        <f t="shared" si="0"/>
        <v>16608.333333333332</v>
      </c>
      <c r="N7" s="35">
        <f t="shared" si="1"/>
        <v>49825</v>
      </c>
      <c r="Q7" t="s">
        <v>40</v>
      </c>
      <c r="R7">
        <v>0.73680000000000001</v>
      </c>
      <c r="S7">
        <v>15</v>
      </c>
    </row>
    <row r="8" spans="1:19" x14ac:dyDescent="0.25">
      <c r="A8" t="s">
        <v>40</v>
      </c>
      <c r="E8" t="s">
        <v>34</v>
      </c>
      <c r="F8" s="25" t="s">
        <v>82</v>
      </c>
      <c r="G8" s="25" t="s">
        <v>90</v>
      </c>
      <c r="H8" t="s">
        <v>71</v>
      </c>
      <c r="I8">
        <v>500420</v>
      </c>
      <c r="K8">
        <v>2020</v>
      </c>
      <c r="L8" s="16">
        <v>197300</v>
      </c>
      <c r="M8" s="16">
        <f t="shared" si="0"/>
        <v>16441.666666666668</v>
      </c>
      <c r="N8" s="35">
        <f t="shared" si="1"/>
        <v>49325</v>
      </c>
    </row>
    <row r="9" spans="1:19" x14ac:dyDescent="0.25">
      <c r="E9" t="s">
        <v>35</v>
      </c>
      <c r="F9" s="25" t="s">
        <v>81</v>
      </c>
      <c r="G9" s="25" t="s">
        <v>91</v>
      </c>
      <c r="H9" t="s">
        <v>71</v>
      </c>
      <c r="I9">
        <v>500420</v>
      </c>
      <c r="K9">
        <v>2019</v>
      </c>
      <c r="L9" s="16">
        <v>192300</v>
      </c>
      <c r="M9" s="16">
        <f t="shared" si="0"/>
        <v>16025</v>
      </c>
      <c r="N9" s="35">
        <f t="shared" si="1"/>
        <v>48075</v>
      </c>
    </row>
    <row r="10" spans="1:19" x14ac:dyDescent="0.25">
      <c r="E10" t="s">
        <v>36</v>
      </c>
      <c r="F10" s="25" t="s">
        <v>83</v>
      </c>
      <c r="G10" s="25" t="s">
        <v>92</v>
      </c>
      <c r="H10" t="s">
        <v>71</v>
      </c>
      <c r="I10">
        <v>500420</v>
      </c>
      <c r="K10">
        <v>2018</v>
      </c>
      <c r="L10" s="16">
        <v>189600</v>
      </c>
      <c r="M10" s="16">
        <f t="shared" si="0"/>
        <v>15800</v>
      </c>
      <c r="N10" s="35">
        <f t="shared" si="1"/>
        <v>47400</v>
      </c>
    </row>
    <row r="11" spans="1:19" x14ac:dyDescent="0.25">
      <c r="A11" s="25" t="s">
        <v>51</v>
      </c>
      <c r="C11" t="s">
        <v>38</v>
      </c>
      <c r="E11" s="69" t="s">
        <v>29</v>
      </c>
      <c r="F11" s="179" t="s">
        <v>77</v>
      </c>
      <c r="G11" s="179" t="s">
        <v>85</v>
      </c>
      <c r="H11" s="69" t="s">
        <v>71</v>
      </c>
      <c r="I11">
        <v>500420</v>
      </c>
      <c r="K11">
        <v>2017</v>
      </c>
      <c r="L11" s="16">
        <v>187000</v>
      </c>
      <c r="M11" s="16">
        <f t="shared" si="0"/>
        <v>15583.333333333334</v>
      </c>
      <c r="N11" s="35">
        <f t="shared" si="1"/>
        <v>46750</v>
      </c>
    </row>
    <row r="12" spans="1:19" x14ac:dyDescent="0.25">
      <c r="A12" s="25" t="s">
        <v>52</v>
      </c>
      <c r="C12" t="s">
        <v>39</v>
      </c>
      <c r="E12" s="69" t="s">
        <v>31</v>
      </c>
      <c r="F12" s="179" t="s">
        <v>78</v>
      </c>
      <c r="G12" s="179" t="s">
        <v>87</v>
      </c>
      <c r="H12" s="69" t="s">
        <v>71</v>
      </c>
      <c r="I12">
        <v>500420</v>
      </c>
      <c r="K12">
        <v>2016</v>
      </c>
      <c r="L12" s="16">
        <v>185100</v>
      </c>
      <c r="M12" s="16">
        <f t="shared" si="0"/>
        <v>15425</v>
      </c>
      <c r="N12" s="35">
        <f t="shared" si="1"/>
        <v>46275</v>
      </c>
    </row>
    <row r="13" spans="1:19" x14ac:dyDescent="0.25">
      <c r="A13" s="25" t="s">
        <v>53</v>
      </c>
      <c r="C13" t="s">
        <v>40</v>
      </c>
      <c r="E13" s="69" t="s">
        <v>33</v>
      </c>
      <c r="F13" s="179" t="s">
        <v>80</v>
      </c>
      <c r="G13" s="179" t="s">
        <v>89</v>
      </c>
      <c r="H13" s="69" t="s">
        <v>71</v>
      </c>
      <c r="I13">
        <v>500420</v>
      </c>
      <c r="L13" s="15"/>
    </row>
    <row r="14" spans="1:19" x14ac:dyDescent="0.25">
      <c r="A14" s="25" t="s">
        <v>54</v>
      </c>
      <c r="C14" t="s">
        <v>173</v>
      </c>
      <c r="E14" t="s">
        <v>188</v>
      </c>
      <c r="F14" s="25" t="s">
        <v>189</v>
      </c>
      <c r="G14" s="25" t="s">
        <v>189</v>
      </c>
      <c r="H14" t="s">
        <v>72</v>
      </c>
      <c r="I14">
        <v>500420</v>
      </c>
      <c r="K14" s="17" t="s">
        <v>47</v>
      </c>
    </row>
    <row r="15" spans="1:19" x14ac:dyDescent="0.25">
      <c r="A15" s="25" t="s">
        <v>55</v>
      </c>
      <c r="C15" t="s">
        <v>174</v>
      </c>
      <c r="E15" t="s">
        <v>190</v>
      </c>
      <c r="F15" s="25" t="s">
        <v>191</v>
      </c>
      <c r="G15" s="25" t="s">
        <v>191</v>
      </c>
      <c r="H15" t="s">
        <v>72</v>
      </c>
      <c r="I15">
        <v>500420</v>
      </c>
    </row>
    <row r="16" spans="1:19" x14ac:dyDescent="0.25">
      <c r="A16" s="25"/>
      <c r="C16" t="s">
        <v>175</v>
      </c>
      <c r="E16" t="s">
        <v>192</v>
      </c>
      <c r="F16" s="25" t="s">
        <v>193</v>
      </c>
      <c r="G16" s="25" t="s">
        <v>193</v>
      </c>
      <c r="H16" t="s">
        <v>72</v>
      </c>
      <c r="I16">
        <v>500420</v>
      </c>
      <c r="K16" t="s">
        <v>49</v>
      </c>
      <c r="L16" s="74">
        <f>'Summer Salary CNAS JUNE'!F19*2</f>
        <v>0</v>
      </c>
      <c r="M16" t="s">
        <v>473</v>
      </c>
    </row>
    <row r="17" spans="1:15" x14ac:dyDescent="0.25">
      <c r="A17" s="25"/>
      <c r="C17" t="s">
        <v>180</v>
      </c>
      <c r="E17" s="189" t="s">
        <v>475</v>
      </c>
      <c r="F17" s="25"/>
      <c r="G17" s="25"/>
      <c r="L17" s="74">
        <f>'Summer Salary CNAS JUL-SEP'!G23*2</f>
        <v>0</v>
      </c>
      <c r="M17" t="s">
        <v>472</v>
      </c>
      <c r="O17" s="22"/>
    </row>
    <row r="18" spans="1:15" x14ac:dyDescent="0.25">
      <c r="A18" s="25"/>
      <c r="C18" t="s">
        <v>176</v>
      </c>
      <c r="E18" t="s">
        <v>263</v>
      </c>
      <c r="F18" s="25" t="s">
        <v>264</v>
      </c>
      <c r="G18" s="25" t="s">
        <v>93</v>
      </c>
      <c r="H18" t="s">
        <v>96</v>
      </c>
      <c r="I18">
        <v>500420</v>
      </c>
      <c r="L18" s="324">
        <f>'NSP Summer Salary'!J34*2</f>
        <v>0</v>
      </c>
      <c r="M18" t="s">
        <v>471</v>
      </c>
      <c r="O18" s="35"/>
    </row>
    <row r="19" spans="1:15" x14ac:dyDescent="0.25">
      <c r="A19" s="25"/>
      <c r="C19" t="s">
        <v>177</v>
      </c>
      <c r="E19" t="s">
        <v>265</v>
      </c>
      <c r="F19" s="25" t="s">
        <v>266</v>
      </c>
      <c r="G19" s="25" t="s">
        <v>94</v>
      </c>
      <c r="H19" t="s">
        <v>96</v>
      </c>
      <c r="I19">
        <v>500420</v>
      </c>
      <c r="L19" s="324">
        <f>'Additional Comp'!F57*2</f>
        <v>0</v>
      </c>
      <c r="M19" t="s">
        <v>220</v>
      </c>
      <c r="O19" s="35"/>
    </row>
    <row r="20" spans="1:15" x14ac:dyDescent="0.25">
      <c r="A20" s="25"/>
      <c r="C20" t="s">
        <v>178</v>
      </c>
      <c r="E20" t="s">
        <v>267</v>
      </c>
      <c r="F20" s="25" t="s">
        <v>268</v>
      </c>
      <c r="G20" s="25" t="s">
        <v>95</v>
      </c>
      <c r="H20" t="s">
        <v>96</v>
      </c>
      <c r="I20">
        <v>500420</v>
      </c>
      <c r="L20" s="74">
        <f>'Summer Salary CHASS'!G23*2</f>
        <v>0</v>
      </c>
      <c r="M20" t="s">
        <v>371</v>
      </c>
    </row>
    <row r="21" spans="1:15" x14ac:dyDescent="0.25">
      <c r="A21" t="s">
        <v>71</v>
      </c>
      <c r="C21" t="s">
        <v>179</v>
      </c>
      <c r="E21" t="s">
        <v>209</v>
      </c>
      <c r="F21" s="25" t="s">
        <v>212</v>
      </c>
      <c r="G21" s="25" t="s">
        <v>93</v>
      </c>
      <c r="H21" t="s">
        <v>96</v>
      </c>
      <c r="I21">
        <v>500420</v>
      </c>
    </row>
    <row r="22" spans="1:15" x14ac:dyDescent="0.25">
      <c r="A22" t="s">
        <v>96</v>
      </c>
      <c r="C22" t="s">
        <v>37</v>
      </c>
      <c r="E22" t="s">
        <v>210</v>
      </c>
      <c r="F22" s="25" t="s">
        <v>213</v>
      </c>
      <c r="G22" s="25" t="s">
        <v>94</v>
      </c>
      <c r="H22" t="s">
        <v>96</v>
      </c>
      <c r="I22">
        <v>500420</v>
      </c>
      <c r="K22" t="s">
        <v>234</v>
      </c>
      <c r="L22" t="s">
        <v>235</v>
      </c>
      <c r="M22" t="s">
        <v>236</v>
      </c>
      <c r="N22" t="s">
        <v>237</v>
      </c>
    </row>
    <row r="23" spans="1:15" x14ac:dyDescent="0.25">
      <c r="A23" t="s">
        <v>72</v>
      </c>
      <c r="E23" t="s">
        <v>211</v>
      </c>
      <c r="F23" s="25" t="s">
        <v>214</v>
      </c>
      <c r="G23" s="25" t="s">
        <v>95</v>
      </c>
      <c r="H23" t="s">
        <v>96</v>
      </c>
      <c r="I23">
        <v>500420</v>
      </c>
      <c r="K23">
        <v>2026</v>
      </c>
      <c r="L23" s="16">
        <v>197200</v>
      </c>
      <c r="M23" s="35">
        <f>L23/12</f>
        <v>16433.333333333332</v>
      </c>
      <c r="N23" s="35">
        <f>M23*3</f>
        <v>49300</v>
      </c>
    </row>
    <row r="24" spans="1:15" x14ac:dyDescent="0.25">
      <c r="A24" t="s">
        <v>73</v>
      </c>
      <c r="E24" t="s">
        <v>188</v>
      </c>
      <c r="F24" s="25" t="s">
        <v>189</v>
      </c>
      <c r="G24" s="25" t="s">
        <v>189</v>
      </c>
      <c r="H24" t="s">
        <v>72</v>
      </c>
      <c r="I24">
        <v>500420</v>
      </c>
      <c r="K24">
        <v>2025</v>
      </c>
      <c r="L24" s="16">
        <v>195200</v>
      </c>
      <c r="M24" s="35">
        <f>L24/12</f>
        <v>16266.666666666666</v>
      </c>
      <c r="N24" s="35">
        <f>M24*3</f>
        <v>48800</v>
      </c>
    </row>
    <row r="25" spans="1:15" x14ac:dyDescent="0.25">
      <c r="A25" t="s">
        <v>74</v>
      </c>
      <c r="E25" t="s">
        <v>190</v>
      </c>
      <c r="F25" s="25" t="s">
        <v>191</v>
      </c>
      <c r="G25" s="25" t="s">
        <v>191</v>
      </c>
      <c r="H25" t="s">
        <v>72</v>
      </c>
      <c r="I25">
        <v>500420</v>
      </c>
      <c r="K25">
        <v>2024</v>
      </c>
      <c r="L25" s="16">
        <v>191900</v>
      </c>
      <c r="M25" s="35">
        <f>L25/12</f>
        <v>15991.666666666666</v>
      </c>
      <c r="N25" s="35">
        <f>M25*3</f>
        <v>47975</v>
      </c>
    </row>
    <row r="26" spans="1:15" x14ac:dyDescent="0.25">
      <c r="E26" t="s">
        <v>192</v>
      </c>
      <c r="F26" s="25" t="s">
        <v>193</v>
      </c>
      <c r="G26" s="25" t="s">
        <v>193</v>
      </c>
      <c r="H26" t="s">
        <v>72</v>
      </c>
      <c r="I26">
        <v>500420</v>
      </c>
      <c r="K26">
        <v>2023</v>
      </c>
      <c r="L26" s="16">
        <v>188500</v>
      </c>
      <c r="M26" s="35">
        <f>L26/12</f>
        <v>15708.333333333334</v>
      </c>
      <c r="N26" s="35">
        <f>M26*3</f>
        <v>47125</v>
      </c>
    </row>
    <row r="27" spans="1:15" x14ac:dyDescent="0.25">
      <c r="K27">
        <v>2022</v>
      </c>
      <c r="L27" s="16">
        <v>176300</v>
      </c>
      <c r="M27" s="35">
        <f t="shared" ref="M27:M33" si="2">L27/12</f>
        <v>14691.666666666666</v>
      </c>
      <c r="N27" s="35">
        <f t="shared" ref="N27:N33" si="3">M27*3</f>
        <v>44075</v>
      </c>
    </row>
    <row r="28" spans="1:15" x14ac:dyDescent="0.25">
      <c r="A28" s="25" t="s">
        <v>184</v>
      </c>
      <c r="K28">
        <v>2021</v>
      </c>
      <c r="L28" s="16">
        <v>172500</v>
      </c>
      <c r="M28" s="35">
        <f t="shared" si="2"/>
        <v>14375</v>
      </c>
      <c r="N28" s="35">
        <f t="shared" si="3"/>
        <v>43125</v>
      </c>
    </row>
    <row r="29" spans="1:15" x14ac:dyDescent="0.25">
      <c r="A29" s="25" t="s">
        <v>185</v>
      </c>
      <c r="K29">
        <v>2020</v>
      </c>
      <c r="L29" s="16">
        <v>170800</v>
      </c>
      <c r="M29" s="35">
        <f t="shared" si="2"/>
        <v>14233.333333333334</v>
      </c>
      <c r="N29" s="35">
        <f t="shared" si="3"/>
        <v>42700</v>
      </c>
    </row>
    <row r="30" spans="1:15" x14ac:dyDescent="0.25">
      <c r="C30" s="152" t="s">
        <v>269</v>
      </c>
      <c r="K30">
        <v>2019</v>
      </c>
      <c r="L30" s="16">
        <v>166500</v>
      </c>
      <c r="M30" s="35">
        <f t="shared" si="2"/>
        <v>13875</v>
      </c>
      <c r="N30" s="35">
        <f t="shared" si="3"/>
        <v>41625</v>
      </c>
    </row>
    <row r="31" spans="1:15" x14ac:dyDescent="0.25">
      <c r="C31" s="152" t="s">
        <v>270</v>
      </c>
      <c r="E31" s="181" t="s">
        <v>369</v>
      </c>
      <c r="K31">
        <v>2018</v>
      </c>
      <c r="L31" s="16">
        <v>164200</v>
      </c>
      <c r="M31" s="35">
        <f t="shared" si="2"/>
        <v>13683.333333333334</v>
      </c>
      <c r="N31" s="35">
        <f t="shared" si="3"/>
        <v>41050</v>
      </c>
    </row>
    <row r="32" spans="1:15" x14ac:dyDescent="0.25">
      <c r="A32" t="s">
        <v>461</v>
      </c>
      <c r="C32" s="152" t="s">
        <v>271</v>
      </c>
      <c r="E32" t="s">
        <v>28</v>
      </c>
      <c r="F32" s="25" t="s">
        <v>75</v>
      </c>
      <c r="G32" s="25" t="s">
        <v>84</v>
      </c>
      <c r="H32" t="s">
        <v>71</v>
      </c>
      <c r="I32">
        <v>500420</v>
      </c>
      <c r="K32">
        <v>2017</v>
      </c>
      <c r="L32" s="16">
        <v>161900</v>
      </c>
      <c r="M32" s="35">
        <f t="shared" si="2"/>
        <v>13491.666666666666</v>
      </c>
      <c r="N32" s="35">
        <f t="shared" si="3"/>
        <v>40475</v>
      </c>
    </row>
    <row r="33" spans="1:14" x14ac:dyDescent="0.25">
      <c r="A33" t="s">
        <v>244</v>
      </c>
      <c r="C33" s="152" t="s">
        <v>272</v>
      </c>
      <c r="E33" s="69" t="s">
        <v>29</v>
      </c>
      <c r="F33" s="179" t="s">
        <v>77</v>
      </c>
      <c r="G33" s="179" t="s">
        <v>85</v>
      </c>
      <c r="H33" s="69" t="s">
        <v>71</v>
      </c>
      <c r="I33">
        <v>500420</v>
      </c>
      <c r="K33">
        <v>2016</v>
      </c>
      <c r="L33" s="16">
        <v>160300</v>
      </c>
      <c r="M33" s="35">
        <f t="shared" si="2"/>
        <v>13358.333333333334</v>
      </c>
      <c r="N33" s="35">
        <f t="shared" si="3"/>
        <v>40075</v>
      </c>
    </row>
    <row r="34" spans="1:14" x14ac:dyDescent="0.25">
      <c r="C34" s="152" t="s">
        <v>273</v>
      </c>
      <c r="E34" t="s">
        <v>30</v>
      </c>
      <c r="F34" s="25" t="s">
        <v>76</v>
      </c>
      <c r="G34" s="25" t="s">
        <v>86</v>
      </c>
      <c r="H34" t="s">
        <v>71</v>
      </c>
      <c r="I34">
        <v>500420</v>
      </c>
    </row>
    <row r="35" spans="1:14" x14ac:dyDescent="0.25">
      <c r="C35" s="152" t="s">
        <v>274</v>
      </c>
      <c r="E35" s="69" t="s">
        <v>31</v>
      </c>
      <c r="F35" s="179" t="s">
        <v>78</v>
      </c>
      <c r="G35" s="179" t="s">
        <v>87</v>
      </c>
      <c r="H35" s="69" t="s">
        <v>71</v>
      </c>
      <c r="I35">
        <v>500420</v>
      </c>
      <c r="K35" s="17" t="s">
        <v>238</v>
      </c>
    </row>
    <row r="36" spans="1:14" x14ac:dyDescent="0.25">
      <c r="C36" s="152" t="s">
        <v>275</v>
      </c>
      <c r="E36" t="s">
        <v>32</v>
      </c>
      <c r="F36" s="25" t="s">
        <v>79</v>
      </c>
      <c r="G36" s="25" t="s">
        <v>88</v>
      </c>
      <c r="H36" t="s">
        <v>71</v>
      </c>
      <c r="I36">
        <v>500420</v>
      </c>
    </row>
    <row r="37" spans="1:14" x14ac:dyDescent="0.25">
      <c r="C37" s="152" t="s">
        <v>276</v>
      </c>
      <c r="E37" s="69" t="s">
        <v>33</v>
      </c>
      <c r="F37" s="179" t="s">
        <v>80</v>
      </c>
      <c r="G37" s="179" t="s">
        <v>89</v>
      </c>
      <c r="H37" s="69" t="s">
        <v>71</v>
      </c>
      <c r="I37">
        <v>500420</v>
      </c>
    </row>
    <row r="38" spans="1:14" x14ac:dyDescent="0.25">
      <c r="C38" s="152" t="s">
        <v>277</v>
      </c>
      <c r="E38" t="s">
        <v>373</v>
      </c>
      <c r="F38" s="25" t="s">
        <v>379</v>
      </c>
      <c r="G38" s="25" t="s">
        <v>380</v>
      </c>
      <c r="H38" t="s">
        <v>71</v>
      </c>
      <c r="I38">
        <v>500420</v>
      </c>
    </row>
    <row r="39" spans="1:14" x14ac:dyDescent="0.25">
      <c r="C39" s="152" t="s">
        <v>278</v>
      </c>
      <c r="E39" t="s">
        <v>375</v>
      </c>
      <c r="F39" s="25" t="s">
        <v>374</v>
      </c>
      <c r="G39" s="25" t="s">
        <v>381</v>
      </c>
      <c r="H39" t="s">
        <v>71</v>
      </c>
      <c r="I39">
        <v>500420</v>
      </c>
    </row>
    <row r="40" spans="1:14" x14ac:dyDescent="0.25">
      <c r="C40" s="152" t="s">
        <v>279</v>
      </c>
      <c r="E40" t="s">
        <v>376</v>
      </c>
      <c r="F40" s="25" t="s">
        <v>377</v>
      </c>
      <c r="G40" s="25" t="s">
        <v>378</v>
      </c>
      <c r="H40" t="s">
        <v>71</v>
      </c>
      <c r="I40">
        <v>500420</v>
      </c>
    </row>
    <row r="41" spans="1:14" x14ac:dyDescent="0.25">
      <c r="C41" s="152" t="s">
        <v>280</v>
      </c>
      <c r="E41" t="s">
        <v>34</v>
      </c>
      <c r="F41" s="25" t="s">
        <v>82</v>
      </c>
      <c r="G41" s="25" t="s">
        <v>90</v>
      </c>
      <c r="H41" t="s">
        <v>71</v>
      </c>
      <c r="I41">
        <v>500420</v>
      </c>
    </row>
    <row r="42" spans="1:14" x14ac:dyDescent="0.25">
      <c r="C42" s="152" t="s">
        <v>281</v>
      </c>
      <c r="E42" t="s">
        <v>35</v>
      </c>
      <c r="F42" s="25" t="s">
        <v>81</v>
      </c>
      <c r="G42" s="25" t="s">
        <v>91</v>
      </c>
      <c r="H42" t="s">
        <v>71</v>
      </c>
      <c r="I42">
        <v>500420</v>
      </c>
    </row>
    <row r="43" spans="1:14" x14ac:dyDescent="0.25">
      <c r="C43" s="152" t="s">
        <v>282</v>
      </c>
      <c r="E43" t="s">
        <v>36</v>
      </c>
      <c r="F43" s="25" t="s">
        <v>83</v>
      </c>
      <c r="G43" s="25" t="s">
        <v>92</v>
      </c>
      <c r="H43" t="s">
        <v>71</v>
      </c>
      <c r="I43">
        <v>500420</v>
      </c>
    </row>
    <row r="44" spans="1:14" x14ac:dyDescent="0.25">
      <c r="C44" s="152" t="s">
        <v>283</v>
      </c>
      <c r="E44" t="s">
        <v>188</v>
      </c>
      <c r="F44" s="25" t="s">
        <v>189</v>
      </c>
      <c r="G44" s="25" t="s">
        <v>189</v>
      </c>
      <c r="H44" t="s">
        <v>72</v>
      </c>
      <c r="I44">
        <v>500420</v>
      </c>
    </row>
    <row r="45" spans="1:14" x14ac:dyDescent="0.25">
      <c r="C45" s="175" t="s">
        <v>303</v>
      </c>
      <c r="E45" t="s">
        <v>190</v>
      </c>
      <c r="F45" s="25" t="s">
        <v>191</v>
      </c>
      <c r="G45" s="25" t="s">
        <v>191</v>
      </c>
      <c r="H45" t="s">
        <v>72</v>
      </c>
      <c r="I45">
        <v>500420</v>
      </c>
    </row>
    <row r="46" spans="1:14" x14ac:dyDescent="0.25">
      <c r="C46" s="175" t="s">
        <v>304</v>
      </c>
      <c r="E46" t="s">
        <v>192</v>
      </c>
      <c r="F46" s="25" t="s">
        <v>193</v>
      </c>
      <c r="G46" s="25" t="s">
        <v>193</v>
      </c>
      <c r="H46" t="s">
        <v>72</v>
      </c>
      <c r="I46">
        <v>500420</v>
      </c>
    </row>
    <row r="47" spans="1:14" x14ac:dyDescent="0.25">
      <c r="C47" s="175" t="s">
        <v>305</v>
      </c>
    </row>
    <row r="48" spans="1:14" x14ac:dyDescent="0.25">
      <c r="C48" s="175" t="s">
        <v>306</v>
      </c>
      <c r="E48" t="s">
        <v>490</v>
      </c>
      <c r="F48" t="s">
        <v>195</v>
      </c>
      <c r="G48" t="s">
        <v>438</v>
      </c>
      <c r="H48" t="s">
        <v>194</v>
      </c>
    </row>
    <row r="49" spans="3:11" x14ac:dyDescent="0.25">
      <c r="C49" s="175" t="s">
        <v>307</v>
      </c>
      <c r="E49" s="25" t="s">
        <v>478</v>
      </c>
      <c r="F49">
        <v>184</v>
      </c>
      <c r="G49">
        <v>24</v>
      </c>
      <c r="H49">
        <f t="shared" ref="H49:H60" si="4">F49-G49</f>
        <v>160</v>
      </c>
      <c r="K49" t="s">
        <v>491</v>
      </c>
    </row>
    <row r="50" spans="3:11" x14ac:dyDescent="0.25">
      <c r="C50" s="175" t="s">
        <v>308</v>
      </c>
      <c r="E50" s="25" t="s">
        <v>479</v>
      </c>
      <c r="F50">
        <v>168</v>
      </c>
      <c r="G50">
        <v>24</v>
      </c>
      <c r="H50">
        <f t="shared" si="4"/>
        <v>144</v>
      </c>
      <c r="K50" t="s">
        <v>492</v>
      </c>
    </row>
    <row r="51" spans="3:11" x14ac:dyDescent="0.25">
      <c r="C51" s="175" t="s">
        <v>309</v>
      </c>
      <c r="E51" s="25" t="s">
        <v>480</v>
      </c>
      <c r="F51">
        <v>176</v>
      </c>
      <c r="G51">
        <v>0</v>
      </c>
      <c r="H51">
        <f t="shared" si="4"/>
        <v>176</v>
      </c>
      <c r="K51" t="s">
        <v>493</v>
      </c>
    </row>
    <row r="52" spans="3:11" x14ac:dyDescent="0.25">
      <c r="C52" s="175" t="s">
        <v>310</v>
      </c>
      <c r="E52" s="25" t="s">
        <v>481</v>
      </c>
      <c r="F52">
        <v>176</v>
      </c>
      <c r="G52">
        <v>8</v>
      </c>
      <c r="H52">
        <f t="shared" si="4"/>
        <v>168</v>
      </c>
    </row>
    <row r="53" spans="3:11" x14ac:dyDescent="0.25">
      <c r="C53" s="175" t="s">
        <v>311</v>
      </c>
      <c r="E53" s="25" t="s">
        <v>482</v>
      </c>
      <c r="F53">
        <v>168</v>
      </c>
      <c r="G53">
        <v>0</v>
      </c>
      <c r="H53">
        <f t="shared" si="4"/>
        <v>168</v>
      </c>
    </row>
    <row r="54" spans="3:11" x14ac:dyDescent="0.25">
      <c r="C54" s="175" t="s">
        <v>312</v>
      </c>
      <c r="E54" s="25" t="s">
        <v>483</v>
      </c>
      <c r="F54">
        <v>184</v>
      </c>
      <c r="G54">
        <v>8</v>
      </c>
      <c r="H54">
        <f t="shared" si="4"/>
        <v>176</v>
      </c>
    </row>
    <row r="55" spans="3:11" x14ac:dyDescent="0.25">
      <c r="C55" s="175" t="s">
        <v>313</v>
      </c>
      <c r="E55" s="25" t="s">
        <v>484</v>
      </c>
      <c r="F55">
        <v>176</v>
      </c>
      <c r="G55">
        <v>8</v>
      </c>
      <c r="H55">
        <f t="shared" si="4"/>
        <v>168</v>
      </c>
    </row>
    <row r="56" spans="3:11" x14ac:dyDescent="0.25">
      <c r="C56" s="175" t="s">
        <v>314</v>
      </c>
      <c r="E56" s="25" t="s">
        <v>485</v>
      </c>
      <c r="F56">
        <v>168</v>
      </c>
      <c r="G56">
        <v>8</v>
      </c>
      <c r="H56">
        <f t="shared" si="4"/>
        <v>160</v>
      </c>
    </row>
    <row r="57" spans="3:11" x14ac:dyDescent="0.25">
      <c r="C57" s="175" t="s">
        <v>315</v>
      </c>
      <c r="E57" s="25" t="s">
        <v>486</v>
      </c>
      <c r="F57">
        <v>176</v>
      </c>
      <c r="G57">
        <v>0</v>
      </c>
      <c r="H57">
        <f t="shared" si="4"/>
        <v>176</v>
      </c>
    </row>
    <row r="58" spans="3:11" x14ac:dyDescent="0.25">
      <c r="C58" s="175" t="s">
        <v>316</v>
      </c>
      <c r="E58" s="25" t="s">
        <v>487</v>
      </c>
      <c r="F58">
        <v>176</v>
      </c>
      <c r="G58">
        <v>8</v>
      </c>
      <c r="H58">
        <f t="shared" si="4"/>
        <v>168</v>
      </c>
    </row>
    <row r="59" spans="3:11" x14ac:dyDescent="0.25">
      <c r="C59" s="175" t="s">
        <v>317</v>
      </c>
      <c r="E59" s="25" t="s">
        <v>488</v>
      </c>
      <c r="F59">
        <v>160</v>
      </c>
      <c r="G59">
        <v>8</v>
      </c>
      <c r="H59">
        <f t="shared" si="4"/>
        <v>152</v>
      </c>
    </row>
    <row r="60" spans="3:11" x14ac:dyDescent="0.25">
      <c r="C60" s="175" t="s">
        <v>318</v>
      </c>
      <c r="E60" s="25" t="s">
        <v>489</v>
      </c>
      <c r="F60">
        <v>173</v>
      </c>
      <c r="G60">
        <v>16</v>
      </c>
      <c r="H60">
        <f t="shared" si="4"/>
        <v>157</v>
      </c>
    </row>
    <row r="61" spans="3:11" x14ac:dyDescent="0.25">
      <c r="C61" s="175" t="s">
        <v>319</v>
      </c>
      <c r="E61" s="25" t="s">
        <v>348</v>
      </c>
      <c r="F61">
        <v>184</v>
      </c>
      <c r="G61">
        <v>24</v>
      </c>
      <c r="H61">
        <f t="shared" ref="H61:H72" si="5">F61-G61</f>
        <v>160</v>
      </c>
    </row>
    <row r="62" spans="3:11" x14ac:dyDescent="0.25">
      <c r="C62" s="175" t="s">
        <v>320</v>
      </c>
      <c r="E62" s="25" t="s">
        <v>349</v>
      </c>
      <c r="F62">
        <v>160</v>
      </c>
      <c r="G62">
        <v>24</v>
      </c>
      <c r="H62">
        <f t="shared" si="5"/>
        <v>136</v>
      </c>
    </row>
    <row r="63" spans="3:11" x14ac:dyDescent="0.25">
      <c r="C63" s="175" t="s">
        <v>321</v>
      </c>
      <c r="E63" s="25" t="s">
        <v>350</v>
      </c>
      <c r="F63">
        <v>184</v>
      </c>
      <c r="G63">
        <v>0</v>
      </c>
      <c r="H63">
        <f t="shared" si="5"/>
        <v>184</v>
      </c>
    </row>
    <row r="64" spans="3:11" x14ac:dyDescent="0.25">
      <c r="C64" s="175" t="s">
        <v>322</v>
      </c>
      <c r="E64" s="25" t="s">
        <v>351</v>
      </c>
      <c r="F64">
        <v>176</v>
      </c>
      <c r="G64">
        <v>8</v>
      </c>
      <c r="H64">
        <f t="shared" si="5"/>
        <v>168</v>
      </c>
    </row>
    <row r="65" spans="3:8" x14ac:dyDescent="0.25">
      <c r="C65" s="175" t="s">
        <v>323</v>
      </c>
      <c r="E65" s="25" t="s">
        <v>352</v>
      </c>
      <c r="F65">
        <v>168</v>
      </c>
      <c r="G65">
        <v>0</v>
      </c>
      <c r="H65">
        <f t="shared" si="5"/>
        <v>168</v>
      </c>
    </row>
    <row r="66" spans="3:8" x14ac:dyDescent="0.25">
      <c r="C66" s="175" t="s">
        <v>324</v>
      </c>
      <c r="E66" s="25" t="s">
        <v>353</v>
      </c>
      <c r="F66">
        <v>184</v>
      </c>
      <c r="G66">
        <v>8</v>
      </c>
      <c r="H66">
        <f t="shared" si="5"/>
        <v>176</v>
      </c>
    </row>
    <row r="67" spans="3:8" x14ac:dyDescent="0.25">
      <c r="C67" s="175" t="s">
        <v>325</v>
      </c>
      <c r="E67" s="25" t="s">
        <v>354</v>
      </c>
      <c r="F67">
        <v>168</v>
      </c>
      <c r="G67">
        <v>8</v>
      </c>
      <c r="H67">
        <f t="shared" si="5"/>
        <v>160</v>
      </c>
    </row>
    <row r="68" spans="3:8" x14ac:dyDescent="0.25">
      <c r="C68" s="175" t="s">
        <v>326</v>
      </c>
      <c r="E68" s="25" t="s">
        <v>355</v>
      </c>
      <c r="F68">
        <v>176</v>
      </c>
      <c r="G68">
        <v>8</v>
      </c>
      <c r="H68">
        <f t="shared" si="5"/>
        <v>168</v>
      </c>
    </row>
    <row r="69" spans="3:8" x14ac:dyDescent="0.25">
      <c r="C69" s="175" t="s">
        <v>327</v>
      </c>
      <c r="E69" s="25" t="s">
        <v>356</v>
      </c>
      <c r="F69">
        <v>176</v>
      </c>
      <c r="G69">
        <v>0</v>
      </c>
      <c r="H69">
        <f t="shared" si="5"/>
        <v>176</v>
      </c>
    </row>
    <row r="70" spans="3:8" x14ac:dyDescent="0.25">
      <c r="C70" s="175" t="s">
        <v>328</v>
      </c>
      <c r="E70" s="25" t="s">
        <v>357</v>
      </c>
      <c r="F70">
        <v>168</v>
      </c>
      <c r="G70">
        <v>8</v>
      </c>
      <c r="H70">
        <f t="shared" si="5"/>
        <v>160</v>
      </c>
    </row>
    <row r="71" spans="3:8" x14ac:dyDescent="0.25">
      <c r="C71" s="175" t="s">
        <v>329</v>
      </c>
      <c r="E71" s="25" t="s">
        <v>358</v>
      </c>
      <c r="F71">
        <v>160</v>
      </c>
      <c r="G71">
        <v>8</v>
      </c>
      <c r="H71">
        <f t="shared" si="5"/>
        <v>152</v>
      </c>
    </row>
    <row r="72" spans="3:8" x14ac:dyDescent="0.25">
      <c r="C72" s="175" t="s">
        <v>330</v>
      </c>
      <c r="E72" s="25" t="s">
        <v>359</v>
      </c>
      <c r="F72">
        <v>184</v>
      </c>
      <c r="G72">
        <v>16</v>
      </c>
      <c r="H72">
        <f t="shared" si="5"/>
        <v>168</v>
      </c>
    </row>
    <row r="73" spans="3:8" x14ac:dyDescent="0.25">
      <c r="C73" s="175" t="s">
        <v>331</v>
      </c>
    </row>
    <row r="74" spans="3:8" x14ac:dyDescent="0.25">
      <c r="C74" s="175" t="s">
        <v>332</v>
      </c>
    </row>
    <row r="75" spans="3:8" x14ac:dyDescent="0.25">
      <c r="C75" s="175" t="s">
        <v>333</v>
      </c>
    </row>
    <row r="76" spans="3:8" x14ac:dyDescent="0.25">
      <c r="C76" s="175" t="s">
        <v>334</v>
      </c>
    </row>
    <row r="77" spans="3:8" x14ac:dyDescent="0.25">
      <c r="C77" s="175" t="s">
        <v>335</v>
      </c>
    </row>
    <row r="78" spans="3:8" x14ac:dyDescent="0.25">
      <c r="C78" s="175" t="s">
        <v>336</v>
      </c>
    </row>
    <row r="79" spans="3:8" x14ac:dyDescent="0.25">
      <c r="C79" s="175" t="s">
        <v>337</v>
      </c>
    </row>
    <row r="80" spans="3:8" x14ac:dyDescent="0.25">
      <c r="C80" s="175" t="s">
        <v>338</v>
      </c>
    </row>
    <row r="81" spans="3:3" x14ac:dyDescent="0.25">
      <c r="C81" s="175" t="s">
        <v>339</v>
      </c>
    </row>
    <row r="82" spans="3:3" x14ac:dyDescent="0.25">
      <c r="C82" s="175" t="s">
        <v>340</v>
      </c>
    </row>
    <row r="83" spans="3:3" x14ac:dyDescent="0.25">
      <c r="C83" s="175" t="s">
        <v>341</v>
      </c>
    </row>
    <row r="84" spans="3:3" x14ac:dyDescent="0.25">
      <c r="C84" s="175" t="s">
        <v>342</v>
      </c>
    </row>
    <row r="85" spans="3:3" x14ac:dyDescent="0.25">
      <c r="C85" s="175" t="s">
        <v>343</v>
      </c>
    </row>
    <row r="86" spans="3:3" x14ac:dyDescent="0.25">
      <c r="C86" s="175" t="s">
        <v>344</v>
      </c>
    </row>
    <row r="87" spans="3:3" x14ac:dyDescent="0.25">
      <c r="C87" s="175" t="s">
        <v>345</v>
      </c>
    </row>
    <row r="88" spans="3:3" x14ac:dyDescent="0.25">
      <c r="C88" s="176" t="s">
        <v>346</v>
      </c>
    </row>
  </sheetData>
  <sheetProtection algorithmName="SHA-512" hashValue="xB1wBB4A8GPTTOlW2lL+DGAluY8UBTzUNGVbsEwzSduZ9vIbxAZdNFVLVk8Q3sn+u97+iavJoPOhjrQw/rgvSA==" saltValue="M6X+kgQZ0OW7tYCGGcTXrQ==" spinCount="100000" sheet="1" objects="1" scenarios="1"/>
  <hyperlinks>
    <hyperlink ref="K14" r:id="rId1" xr:uid="{00000000-0004-0000-0800-000000000000}"/>
    <hyperlink ref="K35" r:id="rId2" xr:uid="{00000000-0004-0000-0800-000001000000}"/>
  </hyperlinks>
  <pageMargins left="0.7" right="0.7" top="0.75" bottom="0.75" header="0.3" footer="0.3"/>
  <pageSetup orientation="portrait" horizontalDpi="4294967293"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2F9A151216540BB2A297FAE8C8FFE" ma:contentTypeVersion="23" ma:contentTypeDescription="Create a new document." ma:contentTypeScope="" ma:versionID="8b2bfbc20212c6eb61936e0f56f18648">
  <xsd:schema xmlns:xsd="http://www.w3.org/2001/XMLSchema" xmlns:xs="http://www.w3.org/2001/XMLSchema" xmlns:p="http://schemas.microsoft.com/office/2006/metadata/properties" xmlns:ns2="6e2a14ee-5b1b-4115-95ff-4e1cc219c5ef" xmlns:ns3="874e2b3a-f827-4660-8625-89350f30ed00" targetNamespace="http://schemas.microsoft.com/office/2006/metadata/properties" ma:root="true" ma:fieldsID="86e05a3b868fa5a3d1dd2cac12e3dd43" ns2:_="" ns3:_="">
    <xsd:import namespace="6e2a14ee-5b1b-4115-95ff-4e1cc219c5ef"/>
    <xsd:import namespace="874e2b3a-f827-4660-8625-89350f30e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approved"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a14ee-5b1b-4115-95ff-4e1cc219c5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approved" ma:index="22" nillable="true" ma:displayName="approved" ma:format="Dropdown" ma:internalName="approved">
      <xsd:simpleType>
        <xsd:restriction base="dms:Choice">
          <xsd:enumeration value="Choice 1"/>
          <xsd:enumeration value="Choice 2"/>
          <xsd:enumeration value="Choice 3"/>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4e2b3a-f827-4660-8625-89350f30ed0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2a14ee-5b1b-4115-95ff-4e1cc219c5ef">
      <Terms xmlns="http://schemas.microsoft.com/office/infopath/2007/PartnerControls"/>
    </lcf76f155ced4ddcb4097134ff3c332f>
    <approved xmlns="6e2a14ee-5b1b-4115-95ff-4e1cc219c5ef" xsi:nil="true"/>
  </documentManagement>
</p:properties>
</file>

<file path=customXml/itemProps1.xml><?xml version="1.0" encoding="utf-8"?>
<ds:datastoreItem xmlns:ds="http://schemas.openxmlformats.org/officeDocument/2006/customXml" ds:itemID="{26464FD0-4332-42F4-8E6A-779CD4BE47C5}"/>
</file>

<file path=customXml/itemProps2.xml><?xml version="1.0" encoding="utf-8"?>
<ds:datastoreItem xmlns:ds="http://schemas.openxmlformats.org/officeDocument/2006/customXml" ds:itemID="{963F8480-CA85-4070-A4D8-EBD00CDD1E57}">
  <ds:schemaRefs>
    <ds:schemaRef ds:uri="http://schemas.microsoft.com/sharepoint/v3/contenttype/forms"/>
  </ds:schemaRefs>
</ds:datastoreItem>
</file>

<file path=customXml/itemProps3.xml><?xml version="1.0" encoding="utf-8"?>
<ds:datastoreItem xmlns:ds="http://schemas.openxmlformats.org/officeDocument/2006/customXml" ds:itemID="{AA5FF2B9-1BC1-4932-9614-8A8CCC5966F6}">
  <ds:schemaRefs>
    <ds:schemaRef ds:uri="http://schemas.microsoft.com/office/infopath/2007/PartnerControls"/>
    <ds:schemaRef ds:uri="6e2a14ee-5b1b-4115-95ff-4e1cc219c5ef"/>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874e2b3a-f827-4660-8625-89350f30ed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Directions</vt:lpstr>
      <vt:lpstr>Summer Salary CNAS JUNE</vt:lpstr>
      <vt:lpstr>Summer Salary CNAS JUL-SEP</vt:lpstr>
      <vt:lpstr>Summer Salary CHASS</vt:lpstr>
      <vt:lpstr>NSP Summer Salary</vt:lpstr>
      <vt:lpstr>Additional Comp</vt:lpstr>
      <vt:lpstr>Approval email</vt:lpstr>
      <vt:lpstr>FAQ's</vt:lpstr>
      <vt:lpstr>Lookup</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Cherie</dc:creator>
  <cp:lastModifiedBy>Joy</cp:lastModifiedBy>
  <cp:lastPrinted>2024-02-20T22:46:36Z</cp:lastPrinted>
  <dcterms:created xsi:type="dcterms:W3CDTF">2023-01-31T21:54:23Z</dcterms:created>
  <dcterms:modified xsi:type="dcterms:W3CDTF">2026-04-20T23:31:45Z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0x010100A2A2F9A151216540BB2A297FAE8C8FFE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